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150" windowHeight="6885"/>
  </bookViews>
  <sheets>
    <sheet name="DATOS GENERALES" sheetId="5" r:id="rId1"/>
    <sheet name="ESTRUCTURA FINANCIERA" sheetId="8" r:id="rId2"/>
    <sheet name="FLUJO DE TESORERÍA " sheetId="2" r:id="rId3"/>
    <sheet name="FLUJO DE CAJA DEL PROYECTO" sheetId="6" r:id="rId4"/>
    <sheet name="ESTADO DE RESULTADOS" sheetId="3" r:id="rId5"/>
    <sheet name="BALANCE" sheetId="4" r:id="rId6"/>
  </sheets>
  <calcPr calcId="125725"/>
</workbook>
</file>

<file path=xl/calcChain.xml><?xml version="1.0" encoding="utf-8"?>
<calcChain xmlns="http://schemas.openxmlformats.org/spreadsheetml/2006/main">
  <c r="B40" i="6"/>
  <c r="F80" i="8"/>
  <c r="G80"/>
  <c r="D78"/>
  <c r="C78"/>
  <c r="B78"/>
  <c r="A109"/>
  <c r="D110"/>
  <c r="C110"/>
  <c r="B110"/>
  <c r="A94"/>
  <c r="A33" i="6"/>
  <c r="C33"/>
  <c r="D33"/>
  <c r="E33"/>
  <c r="G33"/>
  <c r="H33"/>
  <c r="I33"/>
  <c r="J33"/>
  <c r="K33"/>
  <c r="L33"/>
  <c r="A15"/>
  <c r="A16"/>
  <c r="A17"/>
  <c r="A18"/>
  <c r="B18"/>
  <c r="C18"/>
  <c r="D18"/>
  <c r="E18"/>
  <c r="F18"/>
  <c r="G18"/>
  <c r="K18"/>
  <c r="L18"/>
  <c r="A19"/>
  <c r="A20"/>
  <c r="B20"/>
  <c r="A34"/>
  <c r="C34"/>
  <c r="D34"/>
  <c r="E34"/>
  <c r="F34"/>
  <c r="G34"/>
  <c r="H34"/>
  <c r="I34"/>
  <c r="J34"/>
  <c r="K34"/>
  <c r="L34"/>
  <c r="A21"/>
  <c r="A22"/>
  <c r="A23"/>
  <c r="B23"/>
  <c r="C23"/>
  <c r="D23"/>
  <c r="E23"/>
  <c r="F23"/>
  <c r="J23"/>
  <c r="K23"/>
  <c r="L23"/>
  <c r="C32"/>
  <c r="D32"/>
  <c r="E32"/>
  <c r="F32"/>
  <c r="G32"/>
  <c r="G35" s="1"/>
  <c r="H32"/>
  <c r="H35" s="1"/>
  <c r="I32"/>
  <c r="I35" s="1"/>
  <c r="J32"/>
  <c r="J35" s="1"/>
  <c r="K32"/>
  <c r="K35" s="1"/>
  <c r="L32"/>
  <c r="L35" s="1"/>
  <c r="A32"/>
  <c r="A7"/>
  <c r="A8"/>
  <c r="A9"/>
  <c r="B9"/>
  <c r="C9"/>
  <c r="D9"/>
  <c r="E9"/>
  <c r="F9"/>
  <c r="J9"/>
  <c r="K9"/>
  <c r="L9"/>
  <c r="A6"/>
  <c r="A32" i="8"/>
  <c r="A30"/>
  <c r="C2"/>
  <c r="D99"/>
  <c r="A95"/>
  <c r="C52"/>
  <c r="C66" s="1"/>
  <c r="C95" s="1"/>
  <c r="B52"/>
  <c r="B66" s="1"/>
  <c r="B95" s="1"/>
  <c r="C24"/>
  <c r="C25"/>
  <c r="B7" i="5"/>
  <c r="H14" s="1"/>
  <c r="B48"/>
  <c r="D14"/>
  <c r="D13"/>
  <c r="D12"/>
  <c r="H12" l="1"/>
  <c r="D15"/>
  <c r="H13"/>
  <c r="B3" i="8" l="1"/>
  <c r="B29"/>
  <c r="D101" s="1"/>
  <c r="D87" i="5"/>
  <c r="D86"/>
  <c r="D85"/>
  <c r="D102"/>
  <c r="H102" s="1"/>
  <c r="C99"/>
  <c r="D99" s="1"/>
  <c r="C15" i="8"/>
  <c r="C8" s="1"/>
  <c r="B15"/>
  <c r="B8" s="1"/>
  <c r="C13"/>
  <c r="C6" s="1"/>
  <c r="C12"/>
  <c r="D12" s="1"/>
  <c r="B23" s="1"/>
  <c r="B94" s="1"/>
  <c r="C14"/>
  <c r="C7" s="1"/>
  <c r="B14"/>
  <c r="B7" s="1"/>
  <c r="B13"/>
  <c r="B6" s="1"/>
  <c r="C87" i="5"/>
  <c r="C86"/>
  <c r="C85"/>
  <c r="E80"/>
  <c r="F80" s="1"/>
  <c r="G80" s="1"/>
  <c r="F79"/>
  <c r="G79" s="1"/>
  <c r="F78"/>
  <c r="G78" s="1"/>
  <c r="F77"/>
  <c r="G77" s="1"/>
  <c r="F76"/>
  <c r="G76" s="1"/>
  <c r="B93"/>
  <c r="C101" i="8" l="1"/>
  <c r="C99"/>
  <c r="C88" i="5"/>
  <c r="B25" i="8" s="1"/>
  <c r="D103" i="5"/>
  <c r="H103" s="1"/>
  <c r="H110" s="1"/>
  <c r="F102"/>
  <c r="G102"/>
  <c r="G12" i="2"/>
  <c r="I12"/>
  <c r="H12"/>
  <c r="B24" i="8"/>
  <c r="E102" i="5"/>
  <c r="C9" i="8"/>
  <c r="B9"/>
  <c r="F8" s="1"/>
  <c r="D6"/>
  <c r="B37" s="1"/>
  <c r="B79" s="1"/>
  <c r="D8"/>
  <c r="B65" s="1"/>
  <c r="D79" s="1"/>
  <c r="D7"/>
  <c r="B51" s="1"/>
  <c r="C79" s="1"/>
  <c r="B16"/>
  <c r="D14"/>
  <c r="D15"/>
  <c r="D13"/>
  <c r="B91" i="5"/>
  <c r="G103" l="1"/>
  <c r="E79" i="8"/>
  <c r="I31" i="2"/>
  <c r="I23" i="6" s="1"/>
  <c r="I9"/>
  <c r="H31" i="2"/>
  <c r="H23" i="6" s="1"/>
  <c r="H9"/>
  <c r="G31" i="2"/>
  <c r="G23" i="6" s="1"/>
  <c r="G9"/>
  <c r="B90" i="5"/>
  <c r="B92" s="1"/>
  <c r="D104"/>
  <c r="E104" s="1"/>
  <c r="F103"/>
  <c r="E103"/>
  <c r="D24" i="8"/>
  <c r="D96"/>
  <c r="C96" s="1"/>
  <c r="D25"/>
  <c r="D97"/>
  <c r="C97" s="1"/>
  <c r="E94"/>
  <c r="D67"/>
  <c r="D81" s="1"/>
  <c r="D68"/>
  <c r="D53"/>
  <c r="D54"/>
  <c r="B17"/>
  <c r="F17" s="1"/>
  <c r="D40"/>
  <c r="B82" s="1"/>
  <c r="D39"/>
  <c r="B81" s="1"/>
  <c r="G104" i="5"/>
  <c r="F14" i="8"/>
  <c r="F7"/>
  <c r="F6"/>
  <c r="D9"/>
  <c r="E6" s="1"/>
  <c r="D2"/>
  <c r="D3" s="1"/>
  <c r="C3"/>
  <c r="D16"/>
  <c r="D17" s="1"/>
  <c r="E15" s="1"/>
  <c r="D105" i="5" l="1"/>
  <c r="F104"/>
  <c r="C54" i="8"/>
  <c r="C82"/>
  <c r="C53"/>
  <c r="C81"/>
  <c r="E81" s="1"/>
  <c r="C68"/>
  <c r="G82" s="1"/>
  <c r="D82"/>
  <c r="H24" i="2"/>
  <c r="H18" i="6" s="1"/>
  <c r="E97" i="8"/>
  <c r="F12"/>
  <c r="F16"/>
  <c r="E96"/>
  <c r="C67"/>
  <c r="G81" s="1"/>
  <c r="C39"/>
  <c r="C40"/>
  <c r="F13"/>
  <c r="F15"/>
  <c r="G105" i="5"/>
  <c r="F105"/>
  <c r="E105"/>
  <c r="F9" i="8"/>
  <c r="C23"/>
  <c r="E8"/>
  <c r="E7"/>
  <c r="E13"/>
  <c r="D23"/>
  <c r="E17"/>
  <c r="E12"/>
  <c r="E14"/>
  <c r="E16"/>
  <c r="D106" i="5"/>
  <c r="E82" i="8" l="1"/>
  <c r="I24" i="2"/>
  <c r="I18" i="6" s="1"/>
  <c r="B21" i="8"/>
  <c r="E106" i="5"/>
  <c r="E110" s="1"/>
  <c r="G106"/>
  <c r="F106"/>
  <c r="E9" i="8"/>
  <c r="C21"/>
  <c r="D107" i="5"/>
  <c r="J24" i="2" l="1"/>
  <c r="J18" i="6" s="1"/>
  <c r="D108" i="5"/>
  <c r="D109" s="1"/>
  <c r="G107"/>
  <c r="G110" s="1"/>
  <c r="F107"/>
  <c r="F110" s="1"/>
  <c r="H111" l="1"/>
  <c r="H112" s="1"/>
  <c r="F19" i="2" s="1"/>
  <c r="F33" i="6" s="1"/>
  <c r="F35" s="1"/>
  <c r="B26" i="8" l="1"/>
  <c r="D98" s="1"/>
  <c r="C98" s="1"/>
  <c r="E20" i="5"/>
  <c r="E19"/>
  <c r="E18"/>
  <c r="D20"/>
  <c r="D19"/>
  <c r="D18"/>
  <c r="L19" i="4"/>
  <c r="L21" s="1"/>
  <c r="K19"/>
  <c r="K21" s="1"/>
  <c r="J19"/>
  <c r="I19"/>
  <c r="I21" s="1"/>
  <c r="H19"/>
  <c r="H21" s="1"/>
  <c r="G19"/>
  <c r="G21" s="1"/>
  <c r="F19"/>
  <c r="J21"/>
  <c r="F21"/>
  <c r="E53" i="5"/>
  <c r="E55" s="1"/>
  <c r="B49" s="1"/>
  <c r="B51"/>
  <c r="B23"/>
  <c r="B53" l="1"/>
  <c r="B54"/>
  <c r="I50" l="1"/>
  <c r="I49"/>
  <c r="I48"/>
  <c r="I47"/>
  <c r="I46"/>
  <c r="B77"/>
  <c r="B78" s="1"/>
  <c r="C26" i="2" s="1"/>
  <c r="C20" i="6" s="1"/>
  <c r="L3"/>
  <c r="L3" i="3" s="1"/>
  <c r="L3" i="4" s="1"/>
  <c r="K3" i="6"/>
  <c r="K3" i="3" s="1"/>
  <c r="K3" i="4" s="1"/>
  <c r="J3" i="6"/>
  <c r="J3" i="3" s="1"/>
  <c r="J3" i="4" s="1"/>
  <c r="I3" i="6"/>
  <c r="I3" i="3" s="1"/>
  <c r="I3" i="4" s="1"/>
  <c r="H3" i="6"/>
  <c r="H3" i="3" s="1"/>
  <c r="H3" i="4" s="1"/>
  <c r="G3" i="6"/>
  <c r="G3" i="3" s="1"/>
  <c r="G3" i="4" s="1"/>
  <c r="F3" i="6"/>
  <c r="F3" i="3" s="1"/>
  <c r="F3" i="4" s="1"/>
  <c r="E3" i="6"/>
  <c r="E3" i="3" s="1"/>
  <c r="E3" i="4" s="1"/>
  <c r="D3" i="6"/>
  <c r="D3" i="3" s="1"/>
  <c r="D3" i="4" s="1"/>
  <c r="C3" i="6"/>
  <c r="C3" i="3" s="1"/>
  <c r="C3" i="4" s="1"/>
  <c r="B3" i="6"/>
  <c r="B3" i="3" s="1"/>
  <c r="B3" i="4" s="1"/>
  <c r="L33" i="5"/>
  <c r="K33"/>
  <c r="J33"/>
  <c r="I33"/>
  <c r="H33"/>
  <c r="G33"/>
  <c r="F33"/>
  <c r="E33"/>
  <c r="D33"/>
  <c r="C33"/>
  <c r="B33"/>
  <c r="L36"/>
  <c r="L35"/>
  <c r="L34"/>
  <c r="M32"/>
  <c r="M31"/>
  <c r="M30"/>
  <c r="B37"/>
  <c r="K36"/>
  <c r="K34"/>
  <c r="J36"/>
  <c r="I36"/>
  <c r="H36"/>
  <c r="G36"/>
  <c r="F36"/>
  <c r="E36"/>
  <c r="D36"/>
  <c r="C36"/>
  <c r="K35"/>
  <c r="J35"/>
  <c r="I35"/>
  <c r="H35"/>
  <c r="G35"/>
  <c r="F35"/>
  <c r="E35"/>
  <c r="D35"/>
  <c r="C35"/>
  <c r="J34"/>
  <c r="I34"/>
  <c r="H34"/>
  <c r="G34"/>
  <c r="F34"/>
  <c r="E34"/>
  <c r="D34"/>
  <c r="C34"/>
  <c r="C15"/>
  <c r="F14"/>
  <c r="F13"/>
  <c r="I14"/>
  <c r="I13"/>
  <c r="L23" i="2"/>
  <c r="L17" i="6" s="1"/>
  <c r="J22" i="2"/>
  <c r="J16" i="6" s="1"/>
  <c r="L21" i="2"/>
  <c r="L15" i="6" s="1"/>
  <c r="I12" i="5"/>
  <c r="F12"/>
  <c r="H60"/>
  <c r="H61" s="1"/>
  <c r="H62" s="1"/>
  <c r="H63" s="1"/>
  <c r="H64" s="1"/>
  <c r="H65" s="1"/>
  <c r="H66" s="1"/>
  <c r="H67" s="1"/>
  <c r="B61"/>
  <c r="B62"/>
  <c r="L9" i="2" l="1"/>
  <c r="L6" i="6" s="1"/>
  <c r="K10" i="2"/>
  <c r="K7" i="6" s="1"/>
  <c r="D26" i="2"/>
  <c r="D20" i="6" s="1"/>
  <c r="I51" i="5"/>
  <c r="B28" i="2" s="1"/>
  <c r="B21" i="6" s="1"/>
  <c r="B11" i="2"/>
  <c r="B8" i="6" s="1"/>
  <c r="D11" i="2"/>
  <c r="D8" i="6" s="1"/>
  <c r="F11" i="2"/>
  <c r="F8" i="6" s="1"/>
  <c r="H11" i="2"/>
  <c r="H8" i="6" s="1"/>
  <c r="J11" i="2"/>
  <c r="J8" i="6" s="1"/>
  <c r="L11" i="2"/>
  <c r="L8" i="6" s="1"/>
  <c r="B21" i="2"/>
  <c r="B15" i="6" s="1"/>
  <c r="B23" i="2"/>
  <c r="B17" i="6" s="1"/>
  <c r="C11" i="2"/>
  <c r="C8" i="6" s="1"/>
  <c r="E11" i="2"/>
  <c r="E8" i="6" s="1"/>
  <c r="G11" i="2"/>
  <c r="G8" i="6" s="1"/>
  <c r="I11" i="2"/>
  <c r="I8" i="6" s="1"/>
  <c r="K11" i="2"/>
  <c r="K8" i="6" s="1"/>
  <c r="B22" i="2"/>
  <c r="B16" i="6" s="1"/>
  <c r="D21" i="2"/>
  <c r="D15" i="6" s="1"/>
  <c r="F21" i="2"/>
  <c r="F15" i="6" s="1"/>
  <c r="H21" i="2"/>
  <c r="H15" i="6" s="1"/>
  <c r="J21" i="2"/>
  <c r="J15" i="6" s="1"/>
  <c r="C22" i="2"/>
  <c r="C16" i="6" s="1"/>
  <c r="E22" i="2"/>
  <c r="E16" i="6" s="1"/>
  <c r="G22" i="2"/>
  <c r="G16" i="6" s="1"/>
  <c r="I22" i="2"/>
  <c r="I16" i="6" s="1"/>
  <c r="K22" i="2"/>
  <c r="K16" i="6" s="1"/>
  <c r="D23" i="2"/>
  <c r="D17" i="6" s="1"/>
  <c r="F23" i="2"/>
  <c r="F17" i="6" s="1"/>
  <c r="H23" i="2"/>
  <c r="H17" i="6" s="1"/>
  <c r="J23" i="2"/>
  <c r="J17" i="6" s="1"/>
  <c r="M35" i="5"/>
  <c r="D37"/>
  <c r="F37"/>
  <c r="H37"/>
  <c r="J37"/>
  <c r="L37"/>
  <c r="C9" i="2"/>
  <c r="C6" i="6" s="1"/>
  <c r="E9" i="2"/>
  <c r="E6" i="6" s="1"/>
  <c r="G9" i="2"/>
  <c r="G6" i="6" s="1"/>
  <c r="I9" i="2"/>
  <c r="I6" i="6" s="1"/>
  <c r="K9" i="2"/>
  <c r="K6" i="6" s="1"/>
  <c r="B10" i="2"/>
  <c r="B7" i="6" s="1"/>
  <c r="D10" i="2"/>
  <c r="D7" i="6" s="1"/>
  <c r="F10" i="2"/>
  <c r="F7" i="6" s="1"/>
  <c r="H10" i="2"/>
  <c r="H7" i="6" s="1"/>
  <c r="J10" i="2"/>
  <c r="J7" i="6" s="1"/>
  <c r="L10" i="2"/>
  <c r="L7" i="6" s="1"/>
  <c r="L22" i="2"/>
  <c r="L16" i="6" s="1"/>
  <c r="C21" i="2"/>
  <c r="C15" i="6" s="1"/>
  <c r="E21" i="2"/>
  <c r="E15" i="6" s="1"/>
  <c r="G21" i="2"/>
  <c r="G15" i="6" s="1"/>
  <c r="I21" i="2"/>
  <c r="I15" i="6" s="1"/>
  <c r="K21" i="2"/>
  <c r="K15" i="6" s="1"/>
  <c r="D22" i="2"/>
  <c r="D16" i="6" s="1"/>
  <c r="F22" i="2"/>
  <c r="F16" i="6" s="1"/>
  <c r="H22" i="2"/>
  <c r="H16" i="6" s="1"/>
  <c r="C23" i="2"/>
  <c r="C17" i="6" s="1"/>
  <c r="E23" i="2"/>
  <c r="E17" i="6" s="1"/>
  <c r="G23" i="2"/>
  <c r="G17" i="6" s="1"/>
  <c r="I23" i="2"/>
  <c r="I17" i="6" s="1"/>
  <c r="K23" i="2"/>
  <c r="K17" i="6" s="1"/>
  <c r="M34" i="5"/>
  <c r="C37"/>
  <c r="E37"/>
  <c r="G37"/>
  <c r="I37"/>
  <c r="K37"/>
  <c r="B9" i="2"/>
  <c r="D9"/>
  <c r="D6" i="6" s="1"/>
  <c r="F9" i="2"/>
  <c r="H9"/>
  <c r="J9"/>
  <c r="C10"/>
  <c r="C7" i="6" s="1"/>
  <c r="E10" i="2"/>
  <c r="E7" i="6" s="1"/>
  <c r="G10" i="2"/>
  <c r="G7" i="6" s="1"/>
  <c r="I10" i="2"/>
  <c r="I7" i="6" s="1"/>
  <c r="M33" i="5"/>
  <c r="M36"/>
  <c r="I63"/>
  <c r="K66"/>
  <c r="J64"/>
  <c r="I60"/>
  <c r="I62"/>
  <c r="I64"/>
  <c r="J61"/>
  <c r="J63"/>
  <c r="J65"/>
  <c r="K61"/>
  <c r="K63"/>
  <c r="K65"/>
  <c r="I61"/>
  <c r="J60"/>
  <c r="J62"/>
  <c r="K60"/>
  <c r="K62"/>
  <c r="K64"/>
  <c r="F15"/>
  <c r="F22" s="1"/>
  <c r="J4" i="3" l="1"/>
  <c r="J6" i="6"/>
  <c r="F4" i="3"/>
  <c r="F6" i="6"/>
  <c r="B15" i="2"/>
  <c r="B6" i="6"/>
  <c r="H4" i="3"/>
  <c r="H6" i="6"/>
  <c r="D4" i="3"/>
  <c r="K4"/>
  <c r="K5"/>
  <c r="G5"/>
  <c r="C5"/>
  <c r="J5"/>
  <c r="F5"/>
  <c r="G4"/>
  <c r="C4"/>
  <c r="F11" i="6"/>
  <c r="L11"/>
  <c r="E11"/>
  <c r="I11"/>
  <c r="D11"/>
  <c r="L4" i="3"/>
  <c r="I5"/>
  <c r="E5"/>
  <c r="H5"/>
  <c r="D5"/>
  <c r="E26" i="2"/>
  <c r="E20" i="6" s="1"/>
  <c r="I4" i="3"/>
  <c r="E4"/>
  <c r="L5"/>
  <c r="J11" i="6"/>
  <c r="C11"/>
  <c r="G11"/>
  <c r="K11"/>
  <c r="H11"/>
  <c r="C28" i="2"/>
  <c r="C21" i="6" s="1"/>
  <c r="B11" i="3"/>
  <c r="K30" i="2"/>
  <c r="K22" i="6" s="1"/>
  <c r="G30" i="2"/>
  <c r="G22" i="6" s="1"/>
  <c r="C30" i="2"/>
  <c r="C22" i="6" s="1"/>
  <c r="J30" i="2"/>
  <c r="J22" i="6" s="1"/>
  <c r="B30" i="2"/>
  <c r="B22" i="6" s="1"/>
  <c r="D30" i="2"/>
  <c r="D22" i="6" s="1"/>
  <c r="E30" i="2"/>
  <c r="E22" i="6" s="1"/>
  <c r="H30" i="2"/>
  <c r="H22" i="6" s="1"/>
  <c r="I30" i="2"/>
  <c r="I22" i="6" s="1"/>
  <c r="L30" i="2"/>
  <c r="L22" i="6" s="1"/>
  <c r="F30" i="2"/>
  <c r="F22" i="6" s="1"/>
  <c r="M37" i="5"/>
  <c r="B5" i="3"/>
  <c r="G13" i="5"/>
  <c r="G12"/>
  <c r="B4" i="3"/>
  <c r="G14" i="5"/>
  <c r="J68"/>
  <c r="I68"/>
  <c r="K68"/>
  <c r="B12" i="3" l="1"/>
  <c r="C12"/>
  <c r="F26" i="2"/>
  <c r="F20" i="6" s="1"/>
  <c r="E12" i="3"/>
  <c r="D12"/>
  <c r="D28" i="2"/>
  <c r="D21" i="6" s="1"/>
  <c r="C11" i="3"/>
  <c r="B11" i="6"/>
  <c r="G15" i="5"/>
  <c r="K69"/>
  <c r="K70" s="1"/>
  <c r="B19" i="2" s="1"/>
  <c r="B33" i="6" s="1"/>
  <c r="G26" i="2" l="1"/>
  <c r="G20" i="6" s="1"/>
  <c r="F12" i="3"/>
  <c r="E28" i="2"/>
  <c r="E21" i="6" s="1"/>
  <c r="D11" i="3"/>
  <c r="C26" i="8"/>
  <c r="C71" i="5"/>
  <c r="B18" i="2" s="1"/>
  <c r="B32" i="6" s="1"/>
  <c r="B60" i="5"/>
  <c r="B10" i="4" l="1"/>
  <c r="C10" s="1"/>
  <c r="D10" s="1"/>
  <c r="E10" s="1"/>
  <c r="F10" s="1"/>
  <c r="G10" s="1"/>
  <c r="H10" s="1"/>
  <c r="I10" s="1"/>
  <c r="J10" s="1"/>
  <c r="K10" s="1"/>
  <c r="L10" s="1"/>
  <c r="H26" i="2"/>
  <c r="H20" i="6" s="1"/>
  <c r="G12" i="3"/>
  <c r="F28" i="2"/>
  <c r="F21" i="6" s="1"/>
  <c r="E11" i="3"/>
  <c r="D69" i="8"/>
  <c r="D83" s="1"/>
  <c r="D55"/>
  <c r="C83" s="1"/>
  <c r="D26"/>
  <c r="D41"/>
  <c r="B83" s="1"/>
  <c r="B64" i="5"/>
  <c r="B25" i="2" s="1"/>
  <c r="B19" i="6" s="1"/>
  <c r="E83" i="8" l="1"/>
  <c r="I26" i="2"/>
  <c r="I20" i="6" s="1"/>
  <c r="H12" i="3"/>
  <c r="G28" i="2"/>
  <c r="G21" i="6" s="1"/>
  <c r="F11" i="3"/>
  <c r="E98" i="8"/>
  <c r="C55"/>
  <c r="C69"/>
  <c r="G83" s="1"/>
  <c r="C41"/>
  <c r="B13" i="3"/>
  <c r="C25" i="2"/>
  <c r="C19" i="6" s="1"/>
  <c r="J26" i="2" l="1"/>
  <c r="J20" i="6" s="1"/>
  <c r="I12" i="3"/>
  <c r="H28" i="2"/>
  <c r="H21" i="6" s="1"/>
  <c r="G11" i="3"/>
  <c r="C13"/>
  <c r="D25" i="2"/>
  <c r="D19" i="6" s="1"/>
  <c r="K26" i="2" l="1"/>
  <c r="K20" i="6" s="1"/>
  <c r="J12" i="3"/>
  <c r="I28" i="2"/>
  <c r="I21" i="6" s="1"/>
  <c r="H11" i="3"/>
  <c r="E25" i="2"/>
  <c r="E19" i="6" s="1"/>
  <c r="D13" i="3"/>
  <c r="L26" i="2" l="1"/>
  <c r="L20" i="6" s="1"/>
  <c r="K12" i="3"/>
  <c r="J28" i="2"/>
  <c r="J21" i="6" s="1"/>
  <c r="I11" i="3"/>
  <c r="E13"/>
  <c r="F25" i="2"/>
  <c r="F19" i="6" s="1"/>
  <c r="L12" i="3" l="1"/>
  <c r="C28" i="8"/>
  <c r="B28"/>
  <c r="K28" i="2"/>
  <c r="K21" i="6" s="1"/>
  <c r="J11" i="3"/>
  <c r="F13"/>
  <c r="G25" i="2"/>
  <c r="G19" i="6" s="1"/>
  <c r="D57" i="8" l="1"/>
  <c r="D43"/>
  <c r="D71"/>
  <c r="D85" s="1"/>
  <c r="D100"/>
  <c r="C100" s="1"/>
  <c r="D28"/>
  <c r="B30"/>
  <c r="L28" i="2"/>
  <c r="L21" i="6" s="1"/>
  <c r="K11" i="3"/>
  <c r="G13"/>
  <c r="H25" i="2"/>
  <c r="H19" i="6" s="1"/>
  <c r="C43" i="8" l="1"/>
  <c r="B85"/>
  <c r="C57"/>
  <c r="C85"/>
  <c r="E85" s="1"/>
  <c r="E100"/>
  <c r="C71"/>
  <c r="G85" s="1"/>
  <c r="D102"/>
  <c r="L11" i="3"/>
  <c r="H13"/>
  <c r="I25" i="2"/>
  <c r="I19" i="6" s="1"/>
  <c r="B100" i="8" l="1"/>
  <c r="C102"/>
  <c r="B101"/>
  <c r="B96"/>
  <c r="B97"/>
  <c r="B99"/>
  <c r="B98"/>
  <c r="I13" i="3"/>
  <c r="J25" i="2"/>
  <c r="J19" i="6" s="1"/>
  <c r="J13" i="3" l="1"/>
  <c r="K25" i="2"/>
  <c r="K19" i="6" s="1"/>
  <c r="K13" i="3" l="1"/>
  <c r="L25" i="2"/>
  <c r="L19" i="6" s="1"/>
  <c r="B47" i="5"/>
  <c r="B52" s="1"/>
  <c r="B55" s="1"/>
  <c r="B24" i="4"/>
  <c r="C24" s="1"/>
  <c r="D24" s="1"/>
  <c r="E24" s="1"/>
  <c r="F24" s="1"/>
  <c r="G24" s="1"/>
  <c r="H24" s="1"/>
  <c r="I24" s="1"/>
  <c r="J24" s="1"/>
  <c r="K24" s="1"/>
  <c r="L24" s="1"/>
  <c r="B20" i="2" l="1"/>
  <c r="C20"/>
  <c r="D20"/>
  <c r="E20"/>
  <c r="C29" i="8"/>
  <c r="L13" i="3"/>
  <c r="B25" i="5"/>
  <c r="C25" s="1"/>
  <c r="B9" i="4"/>
  <c r="B56" i="5"/>
  <c r="B31" i="8" s="1"/>
  <c r="B26" i="5"/>
  <c r="B24"/>
  <c r="C24" s="1"/>
  <c r="E46"/>
  <c r="E49" s="1"/>
  <c r="B18" i="4" l="1"/>
  <c r="C18" s="1"/>
  <c r="C26" i="5"/>
  <c r="D103" i="8"/>
  <c r="C103" s="1"/>
  <c r="B32"/>
  <c r="D31" i="6"/>
  <c r="D35" s="1"/>
  <c r="E31"/>
  <c r="E35" s="1"/>
  <c r="C31"/>
  <c r="C35" s="1"/>
  <c r="B31"/>
  <c r="D44" i="8"/>
  <c r="D72"/>
  <c r="D86" s="1"/>
  <c r="D58"/>
  <c r="C86" s="1"/>
  <c r="C31"/>
  <c r="D29"/>
  <c r="B43" i="5"/>
  <c r="E43"/>
  <c r="I43"/>
  <c r="F43"/>
  <c r="J43"/>
  <c r="C43"/>
  <c r="G43"/>
  <c r="D43"/>
  <c r="H43"/>
  <c r="K43"/>
  <c r="L43"/>
  <c r="B41"/>
  <c r="F41"/>
  <c r="J41"/>
  <c r="L41"/>
  <c r="E41"/>
  <c r="I41"/>
  <c r="D41"/>
  <c r="H41"/>
  <c r="C41"/>
  <c r="G41"/>
  <c r="K41"/>
  <c r="B42"/>
  <c r="F42"/>
  <c r="J42"/>
  <c r="C42"/>
  <c r="G42"/>
  <c r="K42"/>
  <c r="D42"/>
  <c r="H42"/>
  <c r="L42"/>
  <c r="E42"/>
  <c r="I42"/>
  <c r="C9" i="4"/>
  <c r="B19" l="1"/>
  <c r="B21" s="1"/>
  <c r="C44" i="8"/>
  <c r="B86"/>
  <c r="E86" s="1"/>
  <c r="B33"/>
  <c r="B34" s="1"/>
  <c r="D104"/>
  <c r="C104" s="1"/>
  <c r="C105" s="1"/>
  <c r="D46"/>
  <c r="B88" s="1"/>
  <c r="D74"/>
  <c r="D88" s="1"/>
  <c r="D60"/>
  <c r="C88" s="1"/>
  <c r="C58"/>
  <c r="E101"/>
  <c r="C72"/>
  <c r="G86" s="1"/>
  <c r="C46"/>
  <c r="D31"/>
  <c r="D88" i="5"/>
  <c r="D18" i="4"/>
  <c r="C19"/>
  <c r="C21" s="1"/>
  <c r="D9"/>
  <c r="E9" s="1"/>
  <c r="F9" s="1"/>
  <c r="G9" s="1"/>
  <c r="H9" s="1"/>
  <c r="I9" s="1"/>
  <c r="J9" s="1"/>
  <c r="K9" s="1"/>
  <c r="L9" s="1"/>
  <c r="D6" i="3"/>
  <c r="D7" s="1"/>
  <c r="D9" s="1"/>
  <c r="J6"/>
  <c r="J7" s="1"/>
  <c r="J9" s="1"/>
  <c r="B6"/>
  <c r="B7" s="1"/>
  <c r="B9" s="1"/>
  <c r="K6"/>
  <c r="K7" s="1"/>
  <c r="K9" s="1"/>
  <c r="G6"/>
  <c r="G7" s="1"/>
  <c r="G9" s="1"/>
  <c r="H6"/>
  <c r="H7" s="1"/>
  <c r="H9" s="1"/>
  <c r="I6"/>
  <c r="I7" s="1"/>
  <c r="I9" s="1"/>
  <c r="L6"/>
  <c r="L7" s="1"/>
  <c r="L9" s="1"/>
  <c r="F6"/>
  <c r="F7" s="1"/>
  <c r="F9" s="1"/>
  <c r="C6"/>
  <c r="C7" s="1"/>
  <c r="C9" s="1"/>
  <c r="E6"/>
  <c r="E7" s="1"/>
  <c r="E9" s="1"/>
  <c r="E18"/>
  <c r="B29" i="2"/>
  <c r="C18" i="3"/>
  <c r="D18"/>
  <c r="B18"/>
  <c r="E88" i="8" l="1"/>
  <c r="D105"/>
  <c r="D95"/>
  <c r="E103"/>
  <c r="C74"/>
  <c r="G88" s="1"/>
  <c r="C60"/>
  <c r="E18" i="4"/>
  <c r="E19" s="1"/>
  <c r="E21" s="1"/>
  <c r="D19"/>
  <c r="D21" s="1"/>
  <c r="C14" i="3"/>
  <c r="F18" l="1"/>
  <c r="C16"/>
  <c r="C21" s="1"/>
  <c r="C22" s="1"/>
  <c r="C29" i="2" s="1"/>
  <c r="C24" i="6" s="1"/>
  <c r="D14" i="3"/>
  <c r="C32" i="2" l="1"/>
  <c r="C26" i="6"/>
  <c r="C27" s="1"/>
  <c r="C28" s="1"/>
  <c r="C37" s="1"/>
  <c r="G18" i="3"/>
  <c r="C24"/>
  <c r="D16"/>
  <c r="D21" s="1"/>
  <c r="E14"/>
  <c r="H18" l="1"/>
  <c r="C26"/>
  <c r="F14"/>
  <c r="E16"/>
  <c r="E21" s="1"/>
  <c r="D22"/>
  <c r="D29" i="2" s="1"/>
  <c r="D24" i="6" s="1"/>
  <c r="D32" i="2" l="1"/>
  <c r="D26" i="6"/>
  <c r="D27" s="1"/>
  <c r="D28" s="1"/>
  <c r="D37" s="1"/>
  <c r="I18" i="3"/>
  <c r="D24"/>
  <c r="E22"/>
  <c r="E29" i="2" s="1"/>
  <c r="E24" i="6" s="1"/>
  <c r="F16" i="3"/>
  <c r="F21" s="1"/>
  <c r="G14"/>
  <c r="E32" i="2" l="1"/>
  <c r="E26" i="6"/>
  <c r="E27" s="1"/>
  <c r="E28" s="1"/>
  <c r="E37" s="1"/>
  <c r="J18" i="3"/>
  <c r="D26"/>
  <c r="E24"/>
  <c r="G16"/>
  <c r="G21" s="1"/>
  <c r="H14"/>
  <c r="F22"/>
  <c r="F29" i="2" s="1"/>
  <c r="F24" i="6" s="1"/>
  <c r="F32" i="2" l="1"/>
  <c r="F26" i="6"/>
  <c r="F27" s="1"/>
  <c r="F28" s="1"/>
  <c r="F37" s="1"/>
  <c r="K18" i="3"/>
  <c r="E26"/>
  <c r="F24"/>
  <c r="H16"/>
  <c r="H21" s="1"/>
  <c r="G22"/>
  <c r="G29" i="2" s="1"/>
  <c r="G24" i="6" s="1"/>
  <c r="I14" i="3"/>
  <c r="G32" i="2" l="1"/>
  <c r="G26" i="6"/>
  <c r="G27" s="1"/>
  <c r="G28" s="1"/>
  <c r="G37" s="1"/>
  <c r="L14" i="3"/>
  <c r="L16" s="1"/>
  <c r="L18"/>
  <c r="F26"/>
  <c r="G24"/>
  <c r="I16"/>
  <c r="I21" s="1"/>
  <c r="K14"/>
  <c r="J14"/>
  <c r="H22"/>
  <c r="H29" i="2" s="1"/>
  <c r="H24" i="6" s="1"/>
  <c r="H32" i="2" l="1"/>
  <c r="H26" i="6"/>
  <c r="H27" s="1"/>
  <c r="H28" s="1"/>
  <c r="H37" s="1"/>
  <c r="L21" i="3"/>
  <c r="L22" s="1"/>
  <c r="L29" i="2" s="1"/>
  <c r="L24" i="6" s="1"/>
  <c r="G26" i="3"/>
  <c r="K16"/>
  <c r="K21" s="1"/>
  <c r="I22"/>
  <c r="I29" i="2" s="1"/>
  <c r="I24" i="6" s="1"/>
  <c r="J16" i="3"/>
  <c r="J21" s="1"/>
  <c r="H24"/>
  <c r="I32" i="2" l="1"/>
  <c r="L32"/>
  <c r="I26" i="6"/>
  <c r="I27" s="1"/>
  <c r="I28" s="1"/>
  <c r="I37" s="1"/>
  <c r="L26"/>
  <c r="L27" s="1"/>
  <c r="L28" s="1"/>
  <c r="L37" s="1"/>
  <c r="L24" i="3"/>
  <c r="H26"/>
  <c r="I24"/>
  <c r="J29" i="2"/>
  <c r="J24" i="6" s="1"/>
  <c r="K22" i="3"/>
  <c r="K29" i="2" s="1"/>
  <c r="K24" i="6" s="1"/>
  <c r="J32" i="2" l="1"/>
  <c r="K32"/>
  <c r="J26" i="6"/>
  <c r="J28" s="1"/>
  <c r="J37" s="1"/>
  <c r="K26"/>
  <c r="K27" s="1"/>
  <c r="K28" s="1"/>
  <c r="K37" s="1"/>
  <c r="L26" i="3"/>
  <c r="I26"/>
  <c r="K24"/>
  <c r="K26" s="1"/>
  <c r="J24"/>
  <c r="J26" l="1"/>
  <c r="B27" i="2"/>
  <c r="B24" i="6" l="1"/>
  <c r="B34"/>
  <c r="B35" s="1"/>
  <c r="B32" i="2"/>
  <c r="C27" i="8"/>
  <c r="D56" s="1"/>
  <c r="C84" s="1"/>
  <c r="L11" i="4"/>
  <c r="L12" s="1"/>
  <c r="J11"/>
  <c r="J12" s="1"/>
  <c r="H11"/>
  <c r="H12" s="1"/>
  <c r="F11"/>
  <c r="F12" s="1"/>
  <c r="D11"/>
  <c r="D12" s="1"/>
  <c r="B11"/>
  <c r="B12" s="1"/>
  <c r="B26" i="6"/>
  <c r="B28" s="1"/>
  <c r="K11" i="4"/>
  <c r="K12" s="1"/>
  <c r="I11"/>
  <c r="I12" s="1"/>
  <c r="G11"/>
  <c r="G12" s="1"/>
  <c r="E11"/>
  <c r="E12" s="1"/>
  <c r="C11"/>
  <c r="C12" s="1"/>
  <c r="B14" i="3"/>
  <c r="B16" s="1"/>
  <c r="B21" s="1"/>
  <c r="B24" s="1"/>
  <c r="B37" i="6" l="1"/>
  <c r="B34" i="2"/>
  <c r="D70" i="8"/>
  <c r="D84" s="1"/>
  <c r="C30"/>
  <c r="C32" s="1"/>
  <c r="C33" s="1"/>
  <c r="C34" s="1"/>
  <c r="D27"/>
  <c r="D30" s="1"/>
  <c r="D32" s="1"/>
  <c r="D33" s="1"/>
  <c r="D34" s="1"/>
  <c r="D42"/>
  <c r="B84" s="1"/>
  <c r="C70"/>
  <c r="C56"/>
  <c r="C59" s="1"/>
  <c r="C61" s="1"/>
  <c r="C62" s="1"/>
  <c r="D59"/>
  <c r="C87" s="1"/>
  <c r="D45"/>
  <c r="B87" s="1"/>
  <c r="B41" i="6"/>
  <c r="B25" i="4"/>
  <c r="C25" s="1"/>
  <c r="B26" l="1"/>
  <c r="B28" s="1"/>
  <c r="E84" i="8"/>
  <c r="C73"/>
  <c r="G84"/>
  <c r="D73"/>
  <c r="D87" s="1"/>
  <c r="E87" s="1"/>
  <c r="E99"/>
  <c r="B5" i="4"/>
  <c r="B8" s="1"/>
  <c r="B14" s="1"/>
  <c r="B32" s="1"/>
  <c r="C6" i="2"/>
  <c r="C15" s="1"/>
  <c r="C34" s="1"/>
  <c r="D6" s="1"/>
  <c r="D15" s="1"/>
  <c r="C42" i="8"/>
  <c r="B55"/>
  <c r="B69"/>
  <c r="F83" s="1"/>
  <c r="B57"/>
  <c r="B53"/>
  <c r="B68"/>
  <c r="F82" s="1"/>
  <c r="B67"/>
  <c r="F81" s="1"/>
  <c r="B54"/>
  <c r="B71"/>
  <c r="F85" s="1"/>
  <c r="B58"/>
  <c r="B72"/>
  <c r="F86" s="1"/>
  <c r="D61"/>
  <c r="C89" s="1"/>
  <c r="B70"/>
  <c r="F84" s="1"/>
  <c r="E102"/>
  <c r="B56"/>
  <c r="B39"/>
  <c r="B40"/>
  <c r="B43"/>
  <c r="B41"/>
  <c r="B44"/>
  <c r="D47"/>
  <c r="B42"/>
  <c r="D25" i="4"/>
  <c r="C26"/>
  <c r="C28" s="1"/>
  <c r="B89" i="8" l="1"/>
  <c r="D38"/>
  <c r="C75"/>
  <c r="G87"/>
  <c r="B111"/>
  <c r="B109"/>
  <c r="C45"/>
  <c r="D75"/>
  <c r="D89" s="1"/>
  <c r="C111"/>
  <c r="C109"/>
  <c r="B30" i="4"/>
  <c r="D34" i="2"/>
  <c r="E6" s="1"/>
  <c r="E15" s="1"/>
  <c r="C5" i="4"/>
  <c r="C8" s="1"/>
  <c r="C14" s="1"/>
  <c r="C32" s="1"/>
  <c r="E104" i="8"/>
  <c r="D52"/>
  <c r="D62"/>
  <c r="C90" s="1"/>
  <c r="D48"/>
  <c r="B90" s="1"/>
  <c r="D26" i="4"/>
  <c r="D28" s="1"/>
  <c r="E25"/>
  <c r="E89" i="8" l="1"/>
  <c r="C76"/>
  <c r="G90" s="1"/>
  <c r="G89"/>
  <c r="D111"/>
  <c r="D109"/>
  <c r="D76"/>
  <c r="D66"/>
  <c r="C47"/>
  <c r="C48" s="1"/>
  <c r="E34" i="2"/>
  <c r="F6" s="1"/>
  <c r="F15" s="1"/>
  <c r="D5" i="4"/>
  <c r="D8" s="1"/>
  <c r="D14" s="1"/>
  <c r="D32" s="1"/>
  <c r="C30"/>
  <c r="F25"/>
  <c r="E26"/>
  <c r="E28" s="1"/>
  <c r="E105" i="8" l="1"/>
  <c r="D90"/>
  <c r="E90" s="1"/>
  <c r="B80"/>
  <c r="E5" i="4"/>
  <c r="E8" s="1"/>
  <c r="E14" s="1"/>
  <c r="E32" s="1"/>
  <c r="F34" i="2"/>
  <c r="D30" i="4"/>
  <c r="F26"/>
  <c r="F28" s="1"/>
  <c r="G25"/>
  <c r="C80" i="8" l="1"/>
  <c r="D80" s="1"/>
  <c r="B8" i="5"/>
  <c r="E30" i="4"/>
  <c r="F5"/>
  <c r="F8" s="1"/>
  <c r="F14" s="1"/>
  <c r="F32" s="1"/>
  <c r="G6" i="2"/>
  <c r="G15" s="1"/>
  <c r="G34" s="1"/>
  <c r="H6" s="1"/>
  <c r="H15" s="1"/>
  <c r="G26" i="4"/>
  <c r="G28" s="1"/>
  <c r="H25"/>
  <c r="F30" l="1"/>
  <c r="G5"/>
  <c r="G8" s="1"/>
  <c r="G14" s="1"/>
  <c r="G32" s="1"/>
  <c r="H26"/>
  <c r="H28" s="1"/>
  <c r="I25"/>
  <c r="G30" l="1"/>
  <c r="H34" i="2"/>
  <c r="I6" s="1"/>
  <c r="I15" s="1"/>
  <c r="J25" i="4"/>
  <c r="I26"/>
  <c r="I28" s="1"/>
  <c r="H5" l="1"/>
  <c r="H8" s="1"/>
  <c r="H14" s="1"/>
  <c r="J26"/>
  <c r="J28" s="1"/>
  <c r="K25"/>
  <c r="I34" i="2" l="1"/>
  <c r="J6" s="1"/>
  <c r="J15" s="1"/>
  <c r="H32" i="4"/>
  <c r="H30"/>
  <c r="L25"/>
  <c r="L26" s="1"/>
  <c r="L28" s="1"/>
  <c r="K26"/>
  <c r="K28" s="1"/>
  <c r="J34" i="2" l="1"/>
  <c r="K6" s="1"/>
  <c r="K15" s="1"/>
  <c r="I5" i="4"/>
  <c r="I8" s="1"/>
  <c r="I14" s="1"/>
  <c r="I32" l="1"/>
  <c r="I30"/>
  <c r="J5"/>
  <c r="J8" s="1"/>
  <c r="J14" s="1"/>
  <c r="J32" l="1"/>
  <c r="J30"/>
  <c r="K34" i="2"/>
  <c r="L6" s="1"/>
  <c r="L15" s="1"/>
  <c r="K5" i="4" l="1"/>
  <c r="K8" s="1"/>
  <c r="K14" s="1"/>
  <c r="L34" i="2"/>
  <c r="L5" i="4" l="1"/>
  <c r="L8" s="1"/>
  <c r="L14" s="1"/>
  <c r="L30" s="1"/>
  <c r="K32"/>
  <c r="K30"/>
  <c r="L32" l="1"/>
</calcChain>
</file>

<file path=xl/comments1.xml><?xml version="1.0" encoding="utf-8"?>
<comments xmlns="http://schemas.openxmlformats.org/spreadsheetml/2006/main">
  <authors>
    <author>Jorge Bonilla</author>
  </authors>
  <commentList>
    <comment ref="A68" authorId="0">
      <text>
        <r>
          <rPr>
            <b/>
            <sz val="9"/>
            <color indexed="81"/>
            <rFont val="Tahoma"/>
            <family val="2"/>
          </rPr>
          <t>Jorge Bonilla:</t>
        </r>
        <r>
          <rPr>
            <sz val="9"/>
            <color indexed="81"/>
            <rFont val="Tahoma"/>
            <family val="2"/>
          </rPr>
          <t xml:space="preserve">
Estudio Topográfico, estructural, bioclimático, de iluminaciones, ambiental, etc.</t>
        </r>
      </text>
    </comment>
  </commentList>
</comments>
</file>

<file path=xl/sharedStrings.xml><?xml version="1.0" encoding="utf-8"?>
<sst xmlns="http://schemas.openxmlformats.org/spreadsheetml/2006/main" count="383" uniqueCount="263">
  <si>
    <t>UTILIDAD BRUTA</t>
  </si>
  <si>
    <t>UTILIDAD ANTES DE IMPUESTOS</t>
  </si>
  <si>
    <t>UTILIDAD NETA</t>
  </si>
  <si>
    <t>CAJA INICIAL</t>
  </si>
  <si>
    <t>INGRESOS</t>
  </si>
  <si>
    <t>PROVENIENTES DE INVERSIONISTAS</t>
  </si>
  <si>
    <t>TOTAL INGRESOS</t>
  </si>
  <si>
    <t>EGRESOS</t>
  </si>
  <si>
    <t xml:space="preserve">ESTUDIO DE FACTIBILIDAD </t>
  </si>
  <si>
    <t xml:space="preserve">DISEÑO ARQUITECTÓNICO  Y URBANISTICO </t>
  </si>
  <si>
    <t>COMPRA DE TERRENO</t>
  </si>
  <si>
    <t>MARKETING ESTRATEGICO</t>
  </si>
  <si>
    <t xml:space="preserve">COSTOS DE PUESTA EN MARCHA </t>
  </si>
  <si>
    <t>GASTOS OPERATIVOS Y ADMINISTRATIVOS</t>
  </si>
  <si>
    <t>IMPUESTOS</t>
  </si>
  <si>
    <t>TOTAL EGRESOS</t>
  </si>
  <si>
    <t xml:space="preserve">TOTAL SALDO </t>
  </si>
  <si>
    <t>AÑO 1</t>
  </si>
  <si>
    <t>AÑO 2</t>
  </si>
  <si>
    <t>FUERZA DE VENTAS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</si>
  <si>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</si>
  <si>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</si>
  <si>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</si>
  <si>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</si>
  <si>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</si>
  <si>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</si>
  <si>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</si>
  <si>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</si>
  <si>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VENTAS NETAS</t>
  </si>
  <si>
    <t>GASTOS ADMINISTRATIVOS</t>
  </si>
  <si>
    <t xml:space="preserve">ESTRATEGIA DE MARKETING </t>
  </si>
  <si>
    <t>TOTAL GASTOS OPERACIONALES</t>
  </si>
  <si>
    <t>UTILIDAD OPERATIVA</t>
  </si>
  <si>
    <t>INGRESOS NO OPERACIONALES</t>
  </si>
  <si>
    <t>EGRESOS NO OPERACIONALES</t>
  </si>
  <si>
    <t xml:space="preserve">IMPUESTOS </t>
  </si>
  <si>
    <t>GASTOS COMERCIALES</t>
  </si>
  <si>
    <t>ACTIVOS</t>
  </si>
  <si>
    <t>CAJA</t>
  </si>
  <si>
    <t>BANCOS</t>
  </si>
  <si>
    <t>CUENTAS POR COBRAR</t>
  </si>
  <si>
    <t>TOTAL ACTIVOS CORRIENTES</t>
  </si>
  <si>
    <t xml:space="preserve">TOTAL ACTIVOS FIJOS </t>
  </si>
  <si>
    <t>TOTAL ACTIVOS</t>
  </si>
  <si>
    <t>PASIVOS</t>
  </si>
  <si>
    <t>CUENTAS POR PAGAR</t>
  </si>
  <si>
    <t>PRESTAMOS A CORTO PLAZO</t>
  </si>
  <si>
    <t>DEUDAS A LARGO PLAZO</t>
  </si>
  <si>
    <t>TOTAL PASIVO</t>
  </si>
  <si>
    <t>PATRIMONIO</t>
  </si>
  <si>
    <t>UTILIDADES RETENIDAS</t>
  </si>
  <si>
    <t>PATRIMONIO TOTAL</t>
  </si>
  <si>
    <t>TOTAL PASIVO Y PATRIMONIO</t>
  </si>
  <si>
    <t>DIFERENCIA</t>
  </si>
  <si>
    <t>DISEÑO Y ESTUDIOS</t>
  </si>
  <si>
    <t xml:space="preserve">INVERSIONES </t>
  </si>
  <si>
    <t>VENTA DE VIVIENDA</t>
  </si>
  <si>
    <t>ESTUDIO DE  FACTIBILIDAD</t>
  </si>
  <si>
    <t>PRECIO CASA</t>
  </si>
  <si>
    <t xml:space="preserve">ESTUDIO DE SUELOS </t>
  </si>
  <si>
    <t>COSTO CASA</t>
  </si>
  <si>
    <t>ESTUDIO DE MERCADOS</t>
  </si>
  <si>
    <t xml:space="preserve">ADMINISTRACIÓN CASA POR AÑO </t>
  </si>
  <si>
    <t>ESTUDIOS ADICIONALES</t>
  </si>
  <si>
    <t>TOTAL ESTUDIOS</t>
  </si>
  <si>
    <t>CONSTRUCCIÓN DE ETAPAS Y VENTA DE CASAS</t>
  </si>
  <si>
    <t xml:space="preserve">AÑO </t>
  </si>
  <si>
    <t>TERRENO</t>
  </si>
  <si>
    <r>
      <t>VALOR M</t>
    </r>
    <r>
      <rPr>
        <sz val="11"/>
        <color theme="1"/>
        <rFont val="Calibri"/>
        <family val="2"/>
      </rPr>
      <t>²</t>
    </r>
  </si>
  <si>
    <t xml:space="preserve">LICENCIAS </t>
  </si>
  <si>
    <t>VALOR HECTAREA</t>
  </si>
  <si>
    <t xml:space="preserve">REGISTROS </t>
  </si>
  <si>
    <t>CERTIFICACIONES</t>
  </si>
  <si>
    <t>TOTAL TERRENO</t>
  </si>
  <si>
    <t xml:space="preserve">TOTAL </t>
  </si>
  <si>
    <t xml:space="preserve">CONCEPTO </t>
  </si>
  <si>
    <t xml:space="preserve">FLUJO DE TESORERIA </t>
  </si>
  <si>
    <t>PROYECTO VIVIENDA</t>
  </si>
  <si>
    <t xml:space="preserve">ESTADO DE RESULTADOS </t>
  </si>
  <si>
    <t>PROYECTO DE VIVIENDA</t>
  </si>
  <si>
    <t xml:space="preserve">BALANCE PROYECTADO </t>
  </si>
  <si>
    <t xml:space="preserve">FLUJO DE CAJA  PROYECTADO </t>
  </si>
  <si>
    <t xml:space="preserve">PROYECTO DE VIVIENDA </t>
  </si>
  <si>
    <t xml:space="preserve">UTILIDAD ANTES DE IMPUESTOS </t>
  </si>
  <si>
    <t>IMPUESTO A LA RENTA (35%)</t>
  </si>
  <si>
    <t xml:space="preserve">UTILIDAD NETA DEL EJERCICIO </t>
  </si>
  <si>
    <t>INVERSIONES</t>
  </si>
  <si>
    <t>TOTAL INVERSIONES</t>
  </si>
  <si>
    <t>FLUJO DE CAJA NETO</t>
  </si>
  <si>
    <t>VALOR PRESENTE NETO  DEL FLUJO DE CAJA (VPN)</t>
  </si>
  <si>
    <t>TIR</t>
  </si>
  <si>
    <t>ROS</t>
  </si>
  <si>
    <t>ROA</t>
  </si>
  <si>
    <t xml:space="preserve">MARKETING ESTRATEGICO </t>
  </si>
  <si>
    <t xml:space="preserve">PERSONAL ANUAL </t>
  </si>
  <si>
    <t>PAUTAS PUBLICITARIAS</t>
  </si>
  <si>
    <t xml:space="preserve">PARTICIPACIÓN EVENTOS </t>
  </si>
  <si>
    <t xml:space="preserve">OTROS </t>
  </si>
  <si>
    <t xml:space="preserve">DECREMENTO ANUAL </t>
  </si>
  <si>
    <t>DATOS GENERALES VIVIENDA</t>
  </si>
  <si>
    <t>…</t>
  </si>
  <si>
    <t>COSTO DISEÑO ARQUITECTÓNICO POR UNIDADES DE CASA</t>
  </si>
  <si>
    <t>100% = X</t>
  </si>
  <si>
    <t>130% = Y</t>
  </si>
  <si>
    <t>2 A 5</t>
  </si>
  <si>
    <t>6 A 10</t>
  </si>
  <si>
    <t>PRIMERA</t>
  </si>
  <si>
    <t>11 A 20</t>
  </si>
  <si>
    <t>21 A 50</t>
  </si>
  <si>
    <t>51 A 100</t>
  </si>
  <si>
    <t>101 A 300</t>
  </si>
  <si>
    <t># CASAS</t>
  </si>
  <si>
    <t>TAMAÑO TERRENO</t>
  </si>
  <si>
    <t>CASA TIPO I</t>
  </si>
  <si>
    <t>CASA TIPO II</t>
  </si>
  <si>
    <t>CASA TIPO III</t>
  </si>
  <si>
    <t>OTROS DATOS</t>
  </si>
  <si>
    <t>COSTO M2 CONSTRUCCIÓN</t>
  </si>
  <si>
    <t>PRECIO M2 CONSTRUIDO</t>
  </si>
  <si>
    <t>ÁREA DE LA CASA</t>
  </si>
  <si>
    <t>ÍNDICE DE OCUPACIÓN</t>
  </si>
  <si>
    <t>No. CASAS</t>
  </si>
  <si>
    <t>TOTAL POR TIPO</t>
  </si>
  <si>
    <t>TOTAL DISEÑO ARQUITECTÓNICO VIVIENDA SIN IVA</t>
  </si>
  <si>
    <t>TOTAL DISEÑO ARQUITECTÓNICO VIVIENDA CON IVA</t>
  </si>
  <si>
    <t>COSTO TERRENO POR CASA TIPO I</t>
  </si>
  <si>
    <t>COSTO TERRENO POR CASA TIPO II</t>
  </si>
  <si>
    <t>COSTO TERRENO POR CASA TIPO III</t>
  </si>
  <si>
    <t>CASAS CONSTRUIDAS TIPO II</t>
  </si>
  <si>
    <t>CASAS CONSTRUIDAS TIPO I</t>
  </si>
  <si>
    <t>CASAS CONSTRUIDAS TIPO III</t>
  </si>
  <si>
    <t>TOTAL CASAS CONSTRUIDAS</t>
  </si>
  <si>
    <t>CASAS VENDIDAS TIPO I</t>
  </si>
  <si>
    <t>CASAS VENDIDAS TIPO II</t>
  </si>
  <si>
    <t>CASAS VENDIDAS TIPO III</t>
  </si>
  <si>
    <t>TOTAL CASAS VENDIDAS</t>
  </si>
  <si>
    <t>TOTAL CASAS</t>
  </si>
  <si>
    <t>VENTA DE CASAS TIPO I</t>
  </si>
  <si>
    <t>VENTA DE CASAS TIPO II</t>
  </si>
  <si>
    <t>AÑO 0</t>
  </si>
  <si>
    <t>COSTO TOTAL TERRENO CASA TIPO I</t>
  </si>
  <si>
    <t>COSTO TOTAL TERRENO CASA TIPO II</t>
  </si>
  <si>
    <t>COSTO TOTAL TERRENO CASA TIPO III</t>
  </si>
  <si>
    <t>COSTO TOTAL TERRENO CASAS</t>
  </si>
  <si>
    <t>PORCENTAJE PREDIO</t>
  </si>
  <si>
    <t>MARGEN BRUTO</t>
  </si>
  <si>
    <t>OCUPACIÓN TERRENO Ha</t>
  </si>
  <si>
    <t>TOTAL Ha</t>
  </si>
  <si>
    <t>No. Ha PROYECTO</t>
  </si>
  <si>
    <t>No. Ha SESIÓN</t>
  </si>
  <si>
    <t>TOTAL # Ha</t>
  </si>
  <si>
    <t>TOTAL COSTO POR Ha</t>
  </si>
  <si>
    <t>COSTO DE CONSTRUCCIÓN</t>
  </si>
  <si>
    <t>COSTO TERRENO</t>
  </si>
  <si>
    <t>TOTAL COSTO DE VENTAS</t>
  </si>
  <si>
    <t>BROCHURE</t>
  </si>
  <si>
    <t>PERSONAL COMERCIAL POR PRESTACIÓN DE SERVICIOS</t>
  </si>
  <si>
    <t>VENDEDOR</t>
  </si>
  <si>
    <t>PRESTACIÓN DE SERVICIOS AL MES</t>
  </si>
  <si>
    <t>TOTAL MES</t>
  </si>
  <si>
    <t>TOTAL AÑO</t>
  </si>
  <si>
    <t>INCREMENTO ANUAL</t>
  </si>
  <si>
    <t>COMISIONES SOBRE VENTA</t>
  </si>
  <si>
    <t>HONORARIOS ABOGADOS</t>
  </si>
  <si>
    <t>HONORARIOS GERENTE PROYECTO</t>
  </si>
  <si>
    <t>HONORARIOS CONTADOR</t>
  </si>
  <si>
    <t>GASTOS DE OFICINA</t>
  </si>
  <si>
    <t>HONORARIOS SEGURIDAD</t>
  </si>
  <si>
    <t>TOTAL GASTOS OPERATIVOS</t>
  </si>
  <si>
    <t>PUESTA EN MARCHA (LICENCIAS Y REGISTROS)</t>
  </si>
  <si>
    <t>VALOR M²</t>
  </si>
  <si>
    <t>VALOR DE LA SESIÓN POR HECTAREA</t>
  </si>
  <si>
    <t>TOTAL TERRENO SESIÓN</t>
  </si>
  <si>
    <t>TOTAL TERRENO PREDIO</t>
  </si>
  <si>
    <t>TOTAL VIVIENDA</t>
  </si>
  <si>
    <t>SESIÓN TOTAL</t>
  </si>
  <si>
    <t>PORCENTAJE</t>
  </si>
  <si>
    <t>SESIÓN VIVIENDA</t>
  </si>
  <si>
    <t>TASA DE OPORTUNIDAD WACC CONSTRUCCIÓN U.ANDES</t>
  </si>
  <si>
    <t>TOTAL PASIVOS CIRCULANTES</t>
  </si>
  <si>
    <t>CONSTRUCCIÓN HOTEL Y CC</t>
  </si>
  <si>
    <r>
      <t>VALOR M</t>
    </r>
    <r>
      <rPr>
        <sz val="11"/>
        <color theme="1"/>
        <rFont val="Calibri"/>
        <family val="2"/>
      </rPr>
      <t>² DE CONSTRUCCIÓN</t>
    </r>
  </si>
  <si>
    <t>VALOR M² DE DOTACIÓN</t>
  </si>
  <si>
    <t>METROS CUADRADOS DOBLE</t>
  </si>
  <si>
    <t>METROS CUADRADOS TRIPLE</t>
  </si>
  <si>
    <t>METROS CUADRADOS SUITES</t>
  </si>
  <si>
    <t>TOTAL METROS CUADRADOS HABITACIONES</t>
  </si>
  <si>
    <t>METROS CUADRADOS OTRAS ÁREAS</t>
  </si>
  <si>
    <t>VALOR METROS CUADRADOS DE CONSTRUCCIÓN</t>
  </si>
  <si>
    <t>VALOR METROS CUADRADOS DE DOTACIÓN</t>
  </si>
  <si>
    <t>TOTAL COSTO CONSTRUCCIÓN Y DOTACIÓN</t>
  </si>
  <si>
    <t>VALOR METROS CUADRADOS OTRAS ÁREAS</t>
  </si>
  <si>
    <t xml:space="preserve">CAPACIDAD EN HOSPEDAJE </t>
  </si>
  <si>
    <t>DIA</t>
  </si>
  <si>
    <t>MES</t>
  </si>
  <si>
    <t>AÑO</t>
  </si>
  <si>
    <t>TOTAL HABITACIONES</t>
  </si>
  <si>
    <t>ESTÁNDAR</t>
  </si>
  <si>
    <t>JUNIOR SUITE</t>
  </si>
  <si>
    <t>SUITE</t>
  </si>
  <si>
    <t xml:space="preserve">TOTAL PERSONAS </t>
  </si>
  <si>
    <t>SECTOR O TIPO DE OFERTA</t>
  </si>
  <si>
    <t>METROS CUADRADOS</t>
  </si>
  <si>
    <t>PRECIO METRO CUADRADO</t>
  </si>
  <si>
    <t>VENTAS ESTIMADAS</t>
  </si>
  <si>
    <t>HOTEL Y CC</t>
  </si>
  <si>
    <t>VIVIENDA TIPO I</t>
  </si>
  <si>
    <t>VIVIENDA TIPO III</t>
  </si>
  <si>
    <t>SUBTOTAL VIVIENDA</t>
  </si>
  <si>
    <t>TOTAL</t>
  </si>
  <si>
    <t>DESARROLLOS INMOBILIARIOS</t>
  </si>
  <si>
    <t>VIVIENDA</t>
  </si>
  <si>
    <t>INGRESOS POR VENTAS</t>
  </si>
  <si>
    <t>COSTOS TERRENO</t>
  </si>
  <si>
    <t>COSTOS DE CONSTRUCCIÓN</t>
  </si>
  <si>
    <t>COSTOS INDIRECTOS</t>
  </si>
  <si>
    <t>COMISIÓN DE VENTAS</t>
  </si>
  <si>
    <t>PUBLICIDAD Y MERCADEO</t>
  </si>
  <si>
    <t>COSTOS DE ARQUITECTURA</t>
  </si>
  <si>
    <t>DEPRECIACIONES</t>
  </si>
  <si>
    <t>RUBRO</t>
  </si>
  <si>
    <t>PERIODO DE DEPRECIACIÓN (AÑOS)</t>
  </si>
  <si>
    <t>MONTO A DEPRECIAR</t>
  </si>
  <si>
    <t>DEPRECIACIÓN POR PERIODO</t>
  </si>
  <si>
    <t>EDIFICACIONES</t>
  </si>
  <si>
    <t>HABITACIÓN I</t>
  </si>
  <si>
    <t>HABITACIÓN II</t>
  </si>
  <si>
    <t>HABITACIÓN III</t>
  </si>
  <si>
    <t>OTRAS ÁREAS</t>
  </si>
  <si>
    <t>VIVIENDA TIPO II</t>
  </si>
  <si>
    <t>PORCENTAJE SOBRE VENTAS TOTALES</t>
  </si>
  <si>
    <t>INCIDENCIA SOBRE METROS CUADRADOS</t>
  </si>
  <si>
    <t>OCUPACIÓN TERRENO CONSTRUIDO</t>
  </si>
  <si>
    <t>COSTOS URBANISMO</t>
  </si>
  <si>
    <t>CONSTRUCCIÓN CASAS TIPO I CON URBANISMO</t>
  </si>
  <si>
    <t>CONSTRUCCIÓN CASAS TIPO II CON URBANISMO</t>
  </si>
  <si>
    <t>CONSTRUCCIÓN CASAS TIPO III CON URBANISMO</t>
  </si>
  <si>
    <t>COSTOS DESARROLLO INMOBILIARIO</t>
  </si>
  <si>
    <t>TOTAL COSTOS DESARROLLOS</t>
  </si>
  <si>
    <r>
      <t>Incidencia Mtr</t>
    </r>
    <r>
      <rPr>
        <b/>
        <sz val="11"/>
        <color theme="1"/>
        <rFont val="Calibri"/>
        <family val="2"/>
      </rPr>
      <t>² Const.</t>
    </r>
  </si>
  <si>
    <r>
      <t>Incidencia Mtr</t>
    </r>
    <r>
      <rPr>
        <b/>
        <sz val="11"/>
        <color theme="1"/>
        <rFont val="Calibri"/>
        <family val="2"/>
      </rPr>
      <t>² Ventas</t>
    </r>
  </si>
  <si>
    <t>TOTAL DESARROLLOS INMOBILIARIOS</t>
  </si>
  <si>
    <t xml:space="preserve">TOTAL VIVIENDA </t>
  </si>
  <si>
    <t>HOTEL Y CENTRO DE CONVENCIONES</t>
  </si>
  <si>
    <t xml:space="preserve">TOTAL PROYECTO </t>
  </si>
  <si>
    <t>CONSTRUCCIÓN HOTEL CON URBANISMO</t>
  </si>
  <si>
    <t xml:space="preserve">PRECIO VENTA METRO CUADRADO </t>
  </si>
  <si>
    <t>VENTA DE CASAS TIPO III</t>
  </si>
  <si>
    <t xml:space="preserve">VENTA HOTEL </t>
  </si>
  <si>
    <t>TOTAL DISEÑO ARQUITECTÓNICO HOTEL SIN IVA</t>
  </si>
  <si>
    <t>TOTAL DISEÑO ARQUITECTÓNICO HOTEL CON IVA</t>
  </si>
  <si>
    <t>COMISIONES VIVIENDA</t>
  </si>
  <si>
    <t xml:space="preserve">COMISIONES HOTEL </t>
  </si>
  <si>
    <t>NÚMERO DE VIVIENDAS</t>
  </si>
  <si>
    <t xml:space="preserve">VIVIENDA TIPO I </t>
  </si>
  <si>
    <t>COSTO UNITARIO POR VIVIENDA</t>
  </si>
  <si>
    <t xml:space="preserve">COSTO TOTAL DE CONSTRUIR UNA UNIDAD DE VIVIENDA SEGÚN TIPO  </t>
  </si>
  <si>
    <r>
      <t>COSTOS DESARROLLO INMOBILIARIO M</t>
    </r>
    <r>
      <rPr>
        <b/>
        <sz val="11"/>
        <color theme="1"/>
        <rFont val="Calibri"/>
        <family val="2"/>
      </rPr>
      <t>²</t>
    </r>
  </si>
  <si>
    <t>INDICADORES</t>
  </si>
  <si>
    <t>COSTO CONSTRUCCIÓN M2</t>
  </si>
  <si>
    <t xml:space="preserve">TOTAL COSTO M2 CONSTRUIDO </t>
  </si>
  <si>
    <t xml:space="preserve">COSTO M2 URBANISMO </t>
  </si>
  <si>
    <t>ESCENARIO II</t>
  </si>
</sst>
</file>

<file path=xl/styles.xml><?xml version="1.0" encoding="utf-8"?>
<styleSheet xmlns="http://schemas.openxmlformats.org/spreadsheetml/2006/main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\ * #,##0.0000_);_(&quot;$&quot;\ * \(#,##0.0000\);_(&quot;$&quot;\ * &quot;-&quot;??_);_(@_)"/>
    <numFmt numFmtId="166" formatCode="0.0000"/>
    <numFmt numFmtId="167" formatCode="0.0%"/>
    <numFmt numFmtId="168" formatCode="_(* #,##0_);_(* \(#,##0\);_(* &quot;-&quot;??_);_(@_)"/>
    <numFmt numFmtId="169" formatCode="_([$$-240A]\ * #,##0_);_([$$-240A]\ * \(#,##0\);_([$$-240A]\ 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9" fontId="0" fillId="0" borderId="0" xfId="2" applyFont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/>
    <xf numFmtId="165" fontId="0" fillId="0" borderId="0" xfId="0" applyNumberFormat="1"/>
    <xf numFmtId="0" fontId="0" fillId="2" borderId="1" xfId="0" applyFill="1" applyBorder="1" applyAlignment="1">
      <alignment horizontal="left"/>
    </xf>
    <xf numFmtId="9" fontId="0" fillId="0" borderId="1" xfId="2" applyFont="1" applyBorder="1"/>
    <xf numFmtId="0" fontId="0" fillId="0" borderId="0" xfId="0" applyFill="1" applyBorder="1"/>
    <xf numFmtId="0" fontId="0" fillId="2" borderId="1" xfId="0" applyFill="1" applyBorder="1"/>
    <xf numFmtId="0" fontId="0" fillId="0" borderId="5" xfId="0" applyBorder="1"/>
    <xf numFmtId="0" fontId="0" fillId="2" borderId="2" xfId="0" applyFill="1" applyBorder="1"/>
    <xf numFmtId="164" fontId="0" fillId="2" borderId="1" xfId="0" applyNumberFormat="1" applyFill="1" applyBorder="1"/>
    <xf numFmtId="0" fontId="0" fillId="0" borderId="5" xfId="0" applyFont="1" applyBorder="1" applyAlignment="1">
      <alignment horizontal="center"/>
    </xf>
    <xf numFmtId="0" fontId="0" fillId="2" borderId="1" xfId="0" applyFont="1" applyFill="1" applyBorder="1"/>
    <xf numFmtId="164" fontId="0" fillId="2" borderId="1" xfId="1" applyNumberFormat="1" applyFont="1" applyFill="1" applyBorder="1"/>
    <xf numFmtId="0" fontId="0" fillId="3" borderId="1" xfId="0" applyFont="1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0" borderId="2" xfId="0" applyFill="1" applyBorder="1"/>
    <xf numFmtId="0" fontId="0" fillId="0" borderId="0" xfId="0" applyFill="1"/>
    <xf numFmtId="164" fontId="0" fillId="0" borderId="0" xfId="0" applyNumberFormat="1" applyFill="1" applyBorder="1"/>
    <xf numFmtId="9" fontId="0" fillId="0" borderId="1" xfId="2" applyFont="1" applyBorder="1" applyAlignment="1">
      <alignment horizontal="center"/>
    </xf>
    <xf numFmtId="43" fontId="0" fillId="0" borderId="0" xfId="3" applyFont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/>
    <xf numFmtId="10" fontId="0" fillId="0" borderId="1" xfId="0" applyNumberFormat="1" applyBorder="1"/>
    <xf numFmtId="10" fontId="0" fillId="0" borderId="1" xfId="2" applyNumberFormat="1" applyFont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168" fontId="0" fillId="0" borderId="0" xfId="3" applyNumberFormat="1" applyFont="1"/>
    <xf numFmtId="2" fontId="0" fillId="0" borderId="7" xfId="0" applyNumberFormat="1" applyBorder="1"/>
    <xf numFmtId="0" fontId="7" fillId="0" borderId="0" xfId="0" applyFont="1" applyBorder="1" applyAlignment="1">
      <alignment horizontal="center"/>
    </xf>
    <xf numFmtId="168" fontId="0" fillId="0" borderId="1" xfId="3" applyNumberFormat="1" applyFont="1" applyBorder="1"/>
    <xf numFmtId="0" fontId="7" fillId="0" borderId="1" xfId="0" applyFont="1" applyBorder="1"/>
    <xf numFmtId="0" fontId="7" fillId="0" borderId="6" xfId="0" applyFont="1" applyBorder="1"/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7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0" borderId="0" xfId="0" applyNumberFormat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3" applyNumberFormat="1" applyFont="1" applyBorder="1"/>
    <xf numFmtId="9" fontId="0" fillId="0" borderId="0" xfId="2" applyFont="1" applyBorder="1"/>
    <xf numFmtId="0" fontId="0" fillId="0" borderId="9" xfId="0" applyBorder="1"/>
    <xf numFmtId="9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9" fontId="0" fillId="0" borderId="14" xfId="2" applyFont="1" applyBorder="1"/>
    <xf numFmtId="0" fontId="11" fillId="0" borderId="0" xfId="0" applyFont="1" applyFill="1" applyBorder="1"/>
    <xf numFmtId="0" fontId="0" fillId="2" borderId="15" xfId="0" applyFill="1" applyBorder="1"/>
    <xf numFmtId="164" fontId="0" fillId="0" borderId="15" xfId="0" applyNumberForma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164" fontId="0" fillId="0" borderId="1" xfId="0" applyNumberFormat="1" applyFill="1" applyBorder="1"/>
    <xf numFmtId="0" fontId="11" fillId="2" borderId="1" xfId="0" applyFont="1" applyFill="1" applyBorder="1"/>
    <xf numFmtId="0" fontId="11" fillId="0" borderId="1" xfId="0" applyFont="1" applyBorder="1"/>
    <xf numFmtId="0" fontId="11" fillId="2" borderId="2" xfId="0" applyFont="1" applyFill="1" applyBorder="1"/>
    <xf numFmtId="0" fontId="0" fillId="2" borderId="6" xfId="0" applyFill="1" applyBorder="1"/>
    <xf numFmtId="164" fontId="0" fillId="0" borderId="12" xfId="1" applyNumberFormat="1" applyFont="1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0" fillId="0" borderId="7" xfId="0" applyNumberFormat="1" applyFill="1" applyBorder="1"/>
    <xf numFmtId="0" fontId="0" fillId="0" borderId="1" xfId="0" applyBorder="1" applyAlignment="1">
      <alignment horizontal="center" wrapText="1"/>
    </xf>
    <xf numFmtId="169" fontId="0" fillId="0" borderId="1" xfId="0" applyNumberFormat="1" applyBorder="1"/>
    <xf numFmtId="0" fontId="7" fillId="0" borderId="13" xfId="0" applyFont="1" applyBorder="1"/>
    <xf numFmtId="164" fontId="0" fillId="0" borderId="2" xfId="1" applyNumberFormat="1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/>
    </xf>
    <xf numFmtId="164" fontId="7" fillId="0" borderId="17" xfId="1" applyNumberFormat="1" applyFont="1" applyBorder="1"/>
    <xf numFmtId="164" fontId="7" fillId="0" borderId="20" xfId="1" applyNumberFormat="1" applyFont="1" applyBorder="1"/>
    <xf numFmtId="9" fontId="7" fillId="0" borderId="17" xfId="2" applyFont="1" applyBorder="1" applyAlignment="1">
      <alignment horizontal="center"/>
    </xf>
    <xf numFmtId="9" fontId="7" fillId="0" borderId="14" xfId="2" applyFont="1" applyBorder="1" applyAlignment="1">
      <alignment horizontal="center"/>
    </xf>
    <xf numFmtId="168" fontId="7" fillId="0" borderId="17" xfId="3" applyNumberFormat="1" applyFont="1" applyBorder="1"/>
    <xf numFmtId="168" fontId="0" fillId="0" borderId="0" xfId="0" applyNumberFormat="1"/>
    <xf numFmtId="0" fontId="7" fillId="0" borderId="10" xfId="0" applyFont="1" applyBorder="1" applyAlignment="1">
      <alignment horizontal="center" vertical="center" wrapText="1"/>
    </xf>
    <xf numFmtId="0" fontId="0" fillId="0" borderId="13" xfId="0" applyFill="1" applyBorder="1"/>
    <xf numFmtId="168" fontId="0" fillId="0" borderId="17" xfId="0" applyNumberFormat="1" applyBorder="1"/>
    <xf numFmtId="164" fontId="12" fillId="0" borderId="1" xfId="0" applyNumberFormat="1" applyFont="1" applyBorder="1"/>
    <xf numFmtId="10" fontId="0" fillId="0" borderId="0" xfId="2" applyNumberFormat="1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164" fontId="7" fillId="0" borderId="1" xfId="0" applyNumberFormat="1" applyFont="1" applyFill="1" applyBorder="1"/>
    <xf numFmtId="164" fontId="7" fillId="0" borderId="1" xfId="1" applyNumberFormat="1" applyFont="1" applyBorder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0" xfId="0" applyAlignment="1">
      <alignment wrapText="1"/>
    </xf>
    <xf numFmtId="10" fontId="0" fillId="0" borderId="1" xfId="2" applyNumberFormat="1" applyFont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10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/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44" fontId="0" fillId="0" borderId="0" xfId="1" applyFont="1"/>
    <xf numFmtId="0" fontId="0" fillId="0" borderId="1" xfId="0" applyBorder="1" applyAlignment="1">
      <alignment wrapText="1"/>
    </xf>
    <xf numFmtId="164" fontId="7" fillId="0" borderId="1" xfId="0" applyNumberFormat="1" applyFont="1" applyBorder="1"/>
    <xf numFmtId="164" fontId="0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1" xfId="0" applyNumberFormat="1" applyFont="1" applyBorder="1" applyAlignment="1"/>
    <xf numFmtId="10" fontId="7" fillId="0" borderId="1" xfId="2" applyNumberFormat="1" applyFont="1" applyBorder="1" applyAlignment="1">
      <alignment horizontal="center"/>
    </xf>
    <xf numFmtId="44" fontId="0" fillId="0" borderId="0" xfId="0" applyNumberFormat="1" applyAlignment="1">
      <alignment wrapText="1"/>
    </xf>
    <xf numFmtId="164" fontId="0" fillId="0" borderId="1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7" fillId="0" borderId="1" xfId="0" applyFont="1" applyBorder="1" applyAlignment="1"/>
    <xf numFmtId="164" fontId="0" fillId="0" borderId="1" xfId="0" applyNumberFormat="1" applyBorder="1" applyAlignment="1"/>
    <xf numFmtId="0" fontId="7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0" fontId="7" fillId="0" borderId="1" xfId="2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7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Normal="100" workbookViewId="0">
      <selection activeCell="B10" sqref="B10"/>
    </sheetView>
  </sheetViews>
  <sheetFormatPr baseColWidth="10" defaultRowHeight="15"/>
  <cols>
    <col min="1" max="1" width="44.42578125" bestFit="1" customWidth="1"/>
    <col min="2" max="2" width="16.85546875" bestFit="1" customWidth="1"/>
    <col min="3" max="3" width="25.85546875" bestFit="1" customWidth="1"/>
    <col min="4" max="4" width="33.140625" bestFit="1" customWidth="1"/>
    <col min="5" max="5" width="23.5703125" bestFit="1" customWidth="1"/>
    <col min="6" max="6" width="23.42578125" bestFit="1" customWidth="1"/>
    <col min="7" max="7" width="21.140625" customWidth="1"/>
    <col min="8" max="8" width="16.7109375" bestFit="1" customWidth="1"/>
    <col min="9" max="9" width="15.42578125" bestFit="1" customWidth="1"/>
    <col min="10" max="10" width="15.5703125" bestFit="1" customWidth="1"/>
    <col min="11" max="12" width="14" bestFit="1" customWidth="1"/>
    <col min="13" max="13" width="12.85546875" customWidth="1"/>
  </cols>
  <sheetData>
    <row r="1" spans="1:13" ht="18.75">
      <c r="A1" s="147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3" spans="1:13">
      <c r="A3" s="144" t="s">
        <v>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5" spans="1:13">
      <c r="A5" s="2" t="s">
        <v>261</v>
      </c>
      <c r="B5" s="5">
        <v>400000</v>
      </c>
    </row>
    <row r="6" spans="1:13">
      <c r="A6" s="2" t="s">
        <v>117</v>
      </c>
      <c r="B6" s="5">
        <v>1200000</v>
      </c>
    </row>
    <row r="7" spans="1:13">
      <c r="A7" s="2" t="s">
        <v>259</v>
      </c>
      <c r="B7" s="5">
        <f>+B5+B6</f>
        <v>1600000</v>
      </c>
    </row>
    <row r="8" spans="1:13">
      <c r="A8" s="2" t="s">
        <v>260</v>
      </c>
      <c r="B8" s="5">
        <f>'ESTRUCTURA FINANCIERA'!B80</f>
        <v>1909708.8446381239</v>
      </c>
    </row>
    <row r="9" spans="1:13">
      <c r="A9" s="2" t="s">
        <v>118</v>
      </c>
      <c r="B9" s="5">
        <v>2500000</v>
      </c>
    </row>
    <row r="10" spans="1:13">
      <c r="A10" s="42"/>
      <c r="B10" s="64"/>
    </row>
    <row r="11" spans="1:13">
      <c r="A11" s="11"/>
      <c r="B11" s="35" t="s">
        <v>119</v>
      </c>
      <c r="C11" s="35" t="s">
        <v>111</v>
      </c>
      <c r="D11" s="60" t="s">
        <v>232</v>
      </c>
      <c r="E11" s="35" t="s">
        <v>112</v>
      </c>
      <c r="F11" s="35" t="s">
        <v>146</v>
      </c>
      <c r="G11" s="35" t="s">
        <v>144</v>
      </c>
      <c r="H11" s="34" t="s">
        <v>60</v>
      </c>
      <c r="I11" s="35" t="s">
        <v>58</v>
      </c>
    </row>
    <row r="12" spans="1:13">
      <c r="A12" s="7" t="s">
        <v>113</v>
      </c>
      <c r="B12" s="1">
        <v>500</v>
      </c>
      <c r="C12" s="1">
        <v>50</v>
      </c>
      <c r="D12" s="62">
        <f>+B12*C12</f>
        <v>25000</v>
      </c>
      <c r="E12" s="2">
        <v>3000</v>
      </c>
      <c r="F12" s="2">
        <f>+(C12*E12)/10000</f>
        <v>15</v>
      </c>
      <c r="G12" s="16">
        <f>+F12/$F$15</f>
        <v>0.3</v>
      </c>
      <c r="H12" s="54">
        <f>+B12*$B$7</f>
        <v>800000000</v>
      </c>
      <c r="I12" s="8">
        <f>+B12*$B$9</f>
        <v>1250000000</v>
      </c>
    </row>
    <row r="13" spans="1:13">
      <c r="A13" s="7" t="s">
        <v>114</v>
      </c>
      <c r="B13" s="1">
        <v>360</v>
      </c>
      <c r="C13" s="1">
        <v>100</v>
      </c>
      <c r="D13" s="62">
        <f t="shared" ref="D13:D14" si="0">+B13*C13</f>
        <v>36000</v>
      </c>
      <c r="E13" s="2">
        <v>1500</v>
      </c>
      <c r="F13" s="2">
        <f>+(C13*E13)/10000</f>
        <v>15</v>
      </c>
      <c r="G13" s="16">
        <f>+F13/$F$15</f>
        <v>0.3</v>
      </c>
      <c r="H13" s="54">
        <f t="shared" ref="H13:H14" si="1">+B13*$B$7</f>
        <v>576000000</v>
      </c>
      <c r="I13" s="8">
        <f>+B13*$B$9</f>
        <v>900000000</v>
      </c>
    </row>
    <row r="14" spans="1:13">
      <c r="A14" s="7" t="s">
        <v>115</v>
      </c>
      <c r="B14" s="1">
        <v>180</v>
      </c>
      <c r="C14" s="1">
        <v>200</v>
      </c>
      <c r="D14" s="62">
        <f t="shared" si="0"/>
        <v>36000</v>
      </c>
      <c r="E14" s="2">
        <v>1000</v>
      </c>
      <c r="F14" s="2">
        <f>+(C14*E14)/10000</f>
        <v>20</v>
      </c>
      <c r="G14" s="16">
        <f>+F14/$F$15</f>
        <v>0.4</v>
      </c>
      <c r="H14" s="54">
        <f t="shared" si="1"/>
        <v>288000000</v>
      </c>
      <c r="I14" s="8">
        <f>+B14*$B$9</f>
        <v>450000000</v>
      </c>
    </row>
    <row r="15" spans="1:13">
      <c r="B15" s="43" t="s">
        <v>121</v>
      </c>
      <c r="C15" s="62">
        <f>+SUM(C12:C14)</f>
        <v>350</v>
      </c>
      <c r="D15" s="62">
        <f>+SUM(D12:D14)</f>
        <v>97000</v>
      </c>
      <c r="E15" s="43" t="s">
        <v>147</v>
      </c>
      <c r="F15" s="2">
        <f>+SUM(F12:F14)</f>
        <v>50</v>
      </c>
      <c r="G15" s="16">
        <f>+SUM(G12:G14)</f>
        <v>1</v>
      </c>
    </row>
    <row r="16" spans="1:13">
      <c r="B16" s="46"/>
      <c r="C16" s="63"/>
      <c r="D16" s="46"/>
      <c r="E16" s="42"/>
      <c r="F16" s="64"/>
    </row>
    <row r="17" spans="1:13">
      <c r="A17" s="11"/>
      <c r="B17" s="56" t="s">
        <v>119</v>
      </c>
      <c r="C17" s="56" t="s">
        <v>112</v>
      </c>
      <c r="D17" s="58" t="s">
        <v>60</v>
      </c>
      <c r="E17" s="56" t="s">
        <v>58</v>
      </c>
      <c r="F17" s="64"/>
    </row>
    <row r="18" spans="1:13">
      <c r="A18" s="7" t="s">
        <v>113</v>
      </c>
      <c r="B18" s="57">
        <v>500</v>
      </c>
      <c r="C18" s="2">
        <v>3000</v>
      </c>
      <c r="D18" s="54">
        <f>+B18*$B$6</f>
        <v>600000000</v>
      </c>
      <c r="E18" s="8">
        <f>+B18*$B$9</f>
        <v>1250000000</v>
      </c>
      <c r="F18" s="64"/>
    </row>
    <row r="19" spans="1:13">
      <c r="A19" s="7" t="s">
        <v>114</v>
      </c>
      <c r="B19" s="57">
        <v>360</v>
      </c>
      <c r="C19" s="2">
        <v>1500</v>
      </c>
      <c r="D19" s="54">
        <f>+B19*$B$6</f>
        <v>432000000</v>
      </c>
      <c r="E19" s="8">
        <f>+B19*$B$9</f>
        <v>900000000</v>
      </c>
      <c r="F19" s="64"/>
    </row>
    <row r="20" spans="1:13">
      <c r="A20" s="7" t="s">
        <v>115</v>
      </c>
      <c r="B20" s="57">
        <v>180</v>
      </c>
      <c r="C20" s="2">
        <v>1000</v>
      </c>
      <c r="D20" s="54">
        <f>+B20*$B$6</f>
        <v>216000000</v>
      </c>
      <c r="E20" s="8">
        <f>+B20*$B$9</f>
        <v>450000000</v>
      </c>
      <c r="F20" s="64"/>
    </row>
    <row r="21" spans="1:13" ht="15.75" thickBot="1">
      <c r="C21" s="44"/>
      <c r="D21" s="46"/>
      <c r="E21" s="42"/>
    </row>
    <row r="22" spans="1:13" ht="15.75" thickBot="1">
      <c r="A22" s="144" t="s">
        <v>116</v>
      </c>
      <c r="B22" s="144"/>
      <c r="C22" s="156" t="s">
        <v>145</v>
      </c>
      <c r="E22" s="49" t="s">
        <v>120</v>
      </c>
      <c r="F22" s="45">
        <f>+C15/F15</f>
        <v>7</v>
      </c>
    </row>
    <row r="23" spans="1:13">
      <c r="A23" s="2" t="s">
        <v>62</v>
      </c>
      <c r="B23" s="5">
        <f>200000*12</f>
        <v>2400000</v>
      </c>
      <c r="C23" s="156"/>
    </row>
    <row r="24" spans="1:13">
      <c r="A24" s="2" t="s">
        <v>125</v>
      </c>
      <c r="B24" s="5">
        <f>+($B$55*G12)/C12</f>
        <v>80640000</v>
      </c>
      <c r="C24" s="16">
        <f>+I12/(H12+B24)</f>
        <v>1.4194222383720929</v>
      </c>
    </row>
    <row r="25" spans="1:13">
      <c r="A25" s="2" t="s">
        <v>126</v>
      </c>
      <c r="B25" s="5">
        <f>+($B$55*G13)/C13</f>
        <v>40320000</v>
      </c>
      <c r="C25" s="16">
        <f>+I13/(H13+B25)</f>
        <v>1.4602803738317758</v>
      </c>
    </row>
    <row r="26" spans="1:13">
      <c r="A26" s="2" t="s">
        <v>127</v>
      </c>
      <c r="B26" s="5">
        <f>+($B$55*G14)/C14</f>
        <v>26880000</v>
      </c>
      <c r="C26" s="16">
        <f>+I14/(H14+B26)</f>
        <v>1.4291158536585367</v>
      </c>
    </row>
    <row r="27" spans="1:13">
      <c r="A27" s="17"/>
      <c r="B27" s="4"/>
    </row>
    <row r="28" spans="1:13">
      <c r="A28" s="144" t="s">
        <v>65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55" t="s">
        <v>136</v>
      </c>
    </row>
    <row r="29" spans="1:13">
      <c r="A29" s="51" t="s">
        <v>66</v>
      </c>
      <c r="B29" s="51">
        <v>0</v>
      </c>
      <c r="C29" s="51">
        <v>1</v>
      </c>
      <c r="D29" s="51">
        <v>2</v>
      </c>
      <c r="E29" s="51">
        <v>3</v>
      </c>
      <c r="F29" s="51">
        <v>4</v>
      </c>
      <c r="G29" s="51">
        <v>5</v>
      </c>
      <c r="H29" s="51">
        <v>6</v>
      </c>
      <c r="I29" s="51">
        <v>7</v>
      </c>
      <c r="J29" s="51">
        <v>8</v>
      </c>
      <c r="K29" s="51">
        <v>9</v>
      </c>
      <c r="L29" s="51">
        <v>10</v>
      </c>
      <c r="M29" s="155"/>
    </row>
    <row r="30" spans="1:13">
      <c r="A30" s="2" t="s">
        <v>129</v>
      </c>
      <c r="B30" s="2">
        <v>0</v>
      </c>
      <c r="C30" s="1">
        <v>2</v>
      </c>
      <c r="D30" s="1">
        <v>4</v>
      </c>
      <c r="E30" s="1">
        <v>6</v>
      </c>
      <c r="F30" s="1">
        <v>8</v>
      </c>
      <c r="G30" s="1">
        <v>10</v>
      </c>
      <c r="H30" s="1">
        <v>8</v>
      </c>
      <c r="I30" s="1">
        <v>6</v>
      </c>
      <c r="J30" s="1">
        <v>4</v>
      </c>
      <c r="K30" s="1">
        <v>2</v>
      </c>
      <c r="L30" s="1">
        <v>0</v>
      </c>
      <c r="M30" s="2">
        <f>+SUM(B30:L30)</f>
        <v>50</v>
      </c>
    </row>
    <row r="31" spans="1:13">
      <c r="A31" s="2" t="s">
        <v>128</v>
      </c>
      <c r="B31" s="2">
        <v>0</v>
      </c>
      <c r="C31" s="1">
        <v>6</v>
      </c>
      <c r="D31" s="1">
        <v>8</v>
      </c>
      <c r="E31" s="1">
        <v>10</v>
      </c>
      <c r="F31" s="1">
        <v>12</v>
      </c>
      <c r="G31" s="1">
        <v>14</v>
      </c>
      <c r="H31" s="1">
        <v>14</v>
      </c>
      <c r="I31" s="1">
        <v>12</v>
      </c>
      <c r="J31" s="1">
        <v>10</v>
      </c>
      <c r="K31" s="1">
        <v>8</v>
      </c>
      <c r="L31" s="1">
        <v>6</v>
      </c>
      <c r="M31" s="2">
        <f t="shared" ref="M31:M37" si="2">+SUM(B31:L31)</f>
        <v>100</v>
      </c>
    </row>
    <row r="32" spans="1:13">
      <c r="A32" s="2" t="s">
        <v>130</v>
      </c>
      <c r="B32" s="2">
        <v>0</v>
      </c>
      <c r="C32" s="1">
        <v>12</v>
      </c>
      <c r="D32" s="1">
        <v>16</v>
      </c>
      <c r="E32" s="1">
        <v>20</v>
      </c>
      <c r="F32" s="1">
        <v>24</v>
      </c>
      <c r="G32" s="1">
        <v>28</v>
      </c>
      <c r="H32" s="1">
        <v>28</v>
      </c>
      <c r="I32" s="1">
        <v>24</v>
      </c>
      <c r="J32" s="1">
        <v>20</v>
      </c>
      <c r="K32" s="1">
        <v>16</v>
      </c>
      <c r="L32" s="1">
        <v>12</v>
      </c>
      <c r="M32" s="2">
        <f t="shared" si="2"/>
        <v>200</v>
      </c>
    </row>
    <row r="33" spans="1:13">
      <c r="A33" s="2" t="s">
        <v>131</v>
      </c>
      <c r="B33" s="40">
        <f>+SUM(B30:B32)</f>
        <v>0</v>
      </c>
      <c r="C33" s="1">
        <f t="shared" ref="C33:L33" si="3">+SUM(C30:C32)</f>
        <v>20</v>
      </c>
      <c r="D33" s="1">
        <f t="shared" si="3"/>
        <v>28</v>
      </c>
      <c r="E33" s="1">
        <f t="shared" si="3"/>
        <v>36</v>
      </c>
      <c r="F33" s="1">
        <f t="shared" si="3"/>
        <v>44</v>
      </c>
      <c r="G33" s="1">
        <f t="shared" si="3"/>
        <v>52</v>
      </c>
      <c r="H33" s="1">
        <f t="shared" si="3"/>
        <v>50</v>
      </c>
      <c r="I33" s="1">
        <f t="shared" si="3"/>
        <v>42</v>
      </c>
      <c r="J33" s="1">
        <f t="shared" si="3"/>
        <v>34</v>
      </c>
      <c r="K33" s="1">
        <f t="shared" si="3"/>
        <v>26</v>
      </c>
      <c r="L33" s="1">
        <f t="shared" si="3"/>
        <v>18</v>
      </c>
      <c r="M33" s="40">
        <f t="shared" si="2"/>
        <v>350</v>
      </c>
    </row>
    <row r="34" spans="1:13">
      <c r="A34" s="2" t="s">
        <v>132</v>
      </c>
      <c r="B34" s="2">
        <v>0</v>
      </c>
      <c r="C34" s="1">
        <f t="shared" ref="C34:L34" si="4">+C30</f>
        <v>2</v>
      </c>
      <c r="D34" s="1">
        <f t="shared" si="4"/>
        <v>4</v>
      </c>
      <c r="E34" s="1">
        <f t="shared" si="4"/>
        <v>6</v>
      </c>
      <c r="F34" s="1">
        <f t="shared" si="4"/>
        <v>8</v>
      </c>
      <c r="G34" s="1">
        <f t="shared" si="4"/>
        <v>10</v>
      </c>
      <c r="H34" s="1">
        <f t="shared" si="4"/>
        <v>8</v>
      </c>
      <c r="I34" s="1">
        <f t="shared" si="4"/>
        <v>6</v>
      </c>
      <c r="J34" s="1">
        <f t="shared" si="4"/>
        <v>4</v>
      </c>
      <c r="K34" s="1">
        <f t="shared" si="4"/>
        <v>2</v>
      </c>
      <c r="L34" s="1">
        <f t="shared" si="4"/>
        <v>0</v>
      </c>
      <c r="M34" s="2">
        <f t="shared" si="2"/>
        <v>50</v>
      </c>
    </row>
    <row r="35" spans="1:13">
      <c r="A35" s="2" t="s">
        <v>133</v>
      </c>
      <c r="B35" s="2">
        <v>0</v>
      </c>
      <c r="C35" s="1">
        <f t="shared" ref="C35:L35" si="5">+C31</f>
        <v>6</v>
      </c>
      <c r="D35" s="1">
        <f t="shared" si="5"/>
        <v>8</v>
      </c>
      <c r="E35" s="1">
        <f t="shared" si="5"/>
        <v>10</v>
      </c>
      <c r="F35" s="1">
        <f t="shared" si="5"/>
        <v>12</v>
      </c>
      <c r="G35" s="1">
        <f t="shared" si="5"/>
        <v>14</v>
      </c>
      <c r="H35" s="1">
        <f t="shared" si="5"/>
        <v>14</v>
      </c>
      <c r="I35" s="1">
        <f t="shared" si="5"/>
        <v>12</v>
      </c>
      <c r="J35" s="1">
        <f t="shared" si="5"/>
        <v>10</v>
      </c>
      <c r="K35" s="1">
        <f t="shared" si="5"/>
        <v>8</v>
      </c>
      <c r="L35" s="1">
        <f t="shared" si="5"/>
        <v>6</v>
      </c>
      <c r="M35" s="2">
        <f t="shared" si="2"/>
        <v>100</v>
      </c>
    </row>
    <row r="36" spans="1:13">
      <c r="A36" s="10" t="s">
        <v>134</v>
      </c>
      <c r="B36" s="2">
        <v>0</v>
      </c>
      <c r="C36" s="1">
        <f t="shared" ref="C36:L36" si="6">+C32</f>
        <v>12</v>
      </c>
      <c r="D36" s="1">
        <f t="shared" si="6"/>
        <v>16</v>
      </c>
      <c r="E36" s="1">
        <f t="shared" si="6"/>
        <v>20</v>
      </c>
      <c r="F36" s="1">
        <f t="shared" si="6"/>
        <v>24</v>
      </c>
      <c r="G36" s="1">
        <f t="shared" si="6"/>
        <v>28</v>
      </c>
      <c r="H36" s="1">
        <f t="shared" si="6"/>
        <v>28</v>
      </c>
      <c r="I36" s="1">
        <f t="shared" si="6"/>
        <v>24</v>
      </c>
      <c r="J36" s="1">
        <f t="shared" si="6"/>
        <v>20</v>
      </c>
      <c r="K36" s="1">
        <f t="shared" si="6"/>
        <v>16</v>
      </c>
      <c r="L36" s="1">
        <f t="shared" si="6"/>
        <v>12</v>
      </c>
      <c r="M36" s="2">
        <f t="shared" si="2"/>
        <v>200</v>
      </c>
    </row>
    <row r="37" spans="1:13">
      <c r="A37" s="10" t="s">
        <v>135</v>
      </c>
      <c r="B37" s="40">
        <f>+SUM(A34:A36)</f>
        <v>0</v>
      </c>
      <c r="C37" s="1">
        <f>+SUM(C34:C36)</f>
        <v>20</v>
      </c>
      <c r="D37" s="1">
        <f t="shared" ref="D37:L37" si="7">+SUM(D34:D36)</f>
        <v>28</v>
      </c>
      <c r="E37" s="1">
        <f t="shared" si="7"/>
        <v>36</v>
      </c>
      <c r="F37" s="1">
        <f t="shared" si="7"/>
        <v>44</v>
      </c>
      <c r="G37" s="1">
        <f t="shared" si="7"/>
        <v>52</v>
      </c>
      <c r="H37" s="1">
        <f t="shared" si="7"/>
        <v>50</v>
      </c>
      <c r="I37" s="1">
        <f t="shared" si="7"/>
        <v>42</v>
      </c>
      <c r="J37" s="1">
        <f t="shared" si="7"/>
        <v>34</v>
      </c>
      <c r="K37" s="1">
        <f t="shared" si="7"/>
        <v>26</v>
      </c>
      <c r="L37" s="1">
        <f t="shared" si="7"/>
        <v>18</v>
      </c>
      <c r="M37" s="2">
        <f t="shared" si="2"/>
        <v>350</v>
      </c>
    </row>
    <row r="38" spans="1:13">
      <c r="A38" s="17"/>
      <c r="B38" s="5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2"/>
    </row>
    <row r="39" spans="1:13">
      <c r="A39" s="144" t="s">
        <v>143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42"/>
    </row>
    <row r="40" spans="1:13">
      <c r="A40" s="51" t="s">
        <v>66</v>
      </c>
      <c r="B40" s="51">
        <v>0</v>
      </c>
      <c r="C40" s="51">
        <v>1</v>
      </c>
      <c r="D40" s="51">
        <v>2</v>
      </c>
      <c r="E40" s="51">
        <v>3</v>
      </c>
      <c r="F40" s="51">
        <v>4</v>
      </c>
      <c r="G40" s="51">
        <v>5</v>
      </c>
      <c r="H40" s="51">
        <v>6</v>
      </c>
      <c r="I40" s="51">
        <v>7</v>
      </c>
      <c r="J40" s="51">
        <v>8</v>
      </c>
      <c r="K40" s="51">
        <v>9</v>
      </c>
      <c r="L40" s="51">
        <v>10</v>
      </c>
      <c r="M40" s="42"/>
    </row>
    <row r="41" spans="1:13">
      <c r="A41" s="10" t="s">
        <v>140</v>
      </c>
      <c r="B41" s="53">
        <f>+B34*$B$24</f>
        <v>0</v>
      </c>
      <c r="C41" s="53">
        <f t="shared" ref="C41:L41" si="8">+C34*$B$24</f>
        <v>161280000</v>
      </c>
      <c r="D41" s="53">
        <f t="shared" si="8"/>
        <v>322560000</v>
      </c>
      <c r="E41" s="53">
        <f t="shared" si="8"/>
        <v>483840000</v>
      </c>
      <c r="F41" s="53">
        <f t="shared" si="8"/>
        <v>645120000</v>
      </c>
      <c r="G41" s="53">
        <f t="shared" si="8"/>
        <v>806400000</v>
      </c>
      <c r="H41" s="53">
        <f t="shared" si="8"/>
        <v>645120000</v>
      </c>
      <c r="I41" s="53">
        <f t="shared" si="8"/>
        <v>483840000</v>
      </c>
      <c r="J41" s="53">
        <f t="shared" si="8"/>
        <v>322560000</v>
      </c>
      <c r="K41" s="53">
        <f t="shared" si="8"/>
        <v>161280000</v>
      </c>
      <c r="L41" s="53">
        <f t="shared" si="8"/>
        <v>0</v>
      </c>
      <c r="M41" s="42"/>
    </row>
    <row r="42" spans="1:13">
      <c r="A42" s="10" t="s">
        <v>141</v>
      </c>
      <c r="B42" s="53">
        <f>+B35*$B$25</f>
        <v>0</v>
      </c>
      <c r="C42" s="53">
        <f t="shared" ref="C42:L42" si="9">+C35*$B$25</f>
        <v>241920000</v>
      </c>
      <c r="D42" s="53">
        <f t="shared" si="9"/>
        <v>322560000</v>
      </c>
      <c r="E42" s="53">
        <f t="shared" si="9"/>
        <v>403200000</v>
      </c>
      <c r="F42" s="53">
        <f t="shared" si="9"/>
        <v>483840000</v>
      </c>
      <c r="G42" s="53">
        <f t="shared" si="9"/>
        <v>564480000</v>
      </c>
      <c r="H42" s="53">
        <f t="shared" si="9"/>
        <v>564480000</v>
      </c>
      <c r="I42" s="53">
        <f t="shared" si="9"/>
        <v>483840000</v>
      </c>
      <c r="J42" s="53">
        <f t="shared" si="9"/>
        <v>403200000</v>
      </c>
      <c r="K42" s="53">
        <f t="shared" si="9"/>
        <v>322560000</v>
      </c>
      <c r="L42" s="53">
        <f t="shared" si="9"/>
        <v>241920000</v>
      </c>
      <c r="M42" s="42"/>
    </row>
    <row r="43" spans="1:13">
      <c r="A43" s="10" t="s">
        <v>142</v>
      </c>
      <c r="B43" s="53">
        <f>+B36*$B$26</f>
        <v>0</v>
      </c>
      <c r="C43" s="53">
        <f t="shared" ref="C43:L43" si="10">+C36*$B$26</f>
        <v>322560000</v>
      </c>
      <c r="D43" s="53">
        <f t="shared" si="10"/>
        <v>430080000</v>
      </c>
      <c r="E43" s="53">
        <f t="shared" si="10"/>
        <v>537600000</v>
      </c>
      <c r="F43" s="53">
        <f t="shared" si="10"/>
        <v>645120000</v>
      </c>
      <c r="G43" s="53">
        <f t="shared" si="10"/>
        <v>752640000</v>
      </c>
      <c r="H43" s="53">
        <f t="shared" si="10"/>
        <v>752640000</v>
      </c>
      <c r="I43" s="53">
        <f t="shared" si="10"/>
        <v>645120000</v>
      </c>
      <c r="J43" s="53">
        <f t="shared" si="10"/>
        <v>537600000</v>
      </c>
      <c r="K43" s="53">
        <f t="shared" si="10"/>
        <v>430080000</v>
      </c>
      <c r="L43" s="53">
        <f t="shared" si="10"/>
        <v>322560000</v>
      </c>
      <c r="M43" s="42"/>
    </row>
    <row r="44" spans="1:13">
      <c r="A44" s="17"/>
      <c r="B44" s="5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42"/>
    </row>
    <row r="45" spans="1:13" ht="15.75">
      <c r="A45" s="143" t="s">
        <v>67</v>
      </c>
      <c r="B45" s="143"/>
      <c r="D45" s="153" t="s">
        <v>12</v>
      </c>
      <c r="E45" s="154"/>
      <c r="G45" s="144" t="s">
        <v>13</v>
      </c>
      <c r="H45" s="144"/>
      <c r="I45" s="144"/>
    </row>
    <row r="46" spans="1:13">
      <c r="A46" s="18" t="s">
        <v>68</v>
      </c>
      <c r="B46" s="5">
        <v>20000</v>
      </c>
      <c r="D46" s="18" t="s">
        <v>69</v>
      </c>
      <c r="E46" s="5">
        <f>+B55*3%</f>
        <v>403200000</v>
      </c>
      <c r="G46" s="157" t="s">
        <v>163</v>
      </c>
      <c r="H46" s="157"/>
      <c r="I46" s="5">
        <f>3000000*12</f>
        <v>36000000</v>
      </c>
    </row>
    <row r="47" spans="1:13">
      <c r="A47" s="18" t="s">
        <v>70</v>
      </c>
      <c r="B47" s="5">
        <f>B46*10000</f>
        <v>200000000</v>
      </c>
      <c r="D47" s="18" t="s">
        <v>71</v>
      </c>
      <c r="E47" s="5">
        <v>3000000</v>
      </c>
      <c r="G47" s="157" t="s">
        <v>164</v>
      </c>
      <c r="H47" s="157"/>
      <c r="I47" s="5">
        <f>8000000*12</f>
        <v>96000000</v>
      </c>
    </row>
    <row r="48" spans="1:13">
      <c r="A48" s="18" t="s">
        <v>148</v>
      </c>
      <c r="B48" s="2">
        <f>+E52</f>
        <v>60</v>
      </c>
      <c r="D48" s="18" t="s">
        <v>72</v>
      </c>
      <c r="E48" s="5">
        <v>2500000</v>
      </c>
      <c r="G48" s="157" t="s">
        <v>165</v>
      </c>
      <c r="H48" s="157"/>
      <c r="I48" s="5">
        <f>800000*12</f>
        <v>9600000</v>
      </c>
    </row>
    <row r="49" spans="1:11">
      <c r="A49" s="18" t="s">
        <v>149</v>
      </c>
      <c r="B49" s="2">
        <f>+E55</f>
        <v>12</v>
      </c>
      <c r="D49" s="18" t="s">
        <v>74</v>
      </c>
      <c r="E49" s="8">
        <f>SUM(E46:E48)</f>
        <v>408700000</v>
      </c>
      <c r="G49" s="157" t="s">
        <v>167</v>
      </c>
      <c r="H49" s="157"/>
      <c r="I49" s="5">
        <f>2000000*12</f>
        <v>24000000</v>
      </c>
    </row>
    <row r="50" spans="1:11">
      <c r="A50" s="18" t="s">
        <v>170</v>
      </c>
      <c r="B50" s="5">
        <v>12000</v>
      </c>
      <c r="G50" s="157" t="s">
        <v>166</v>
      </c>
      <c r="H50" s="157"/>
      <c r="I50" s="5">
        <f>5000000*12</f>
        <v>60000000</v>
      </c>
    </row>
    <row r="51" spans="1:11">
      <c r="A51" s="18" t="s">
        <v>171</v>
      </c>
      <c r="B51" s="5">
        <f>+B50*10000</f>
        <v>120000000</v>
      </c>
      <c r="D51" s="18" t="s">
        <v>73</v>
      </c>
      <c r="E51" s="2">
        <v>120</v>
      </c>
      <c r="G51" s="159" t="s">
        <v>168</v>
      </c>
      <c r="H51" s="160"/>
      <c r="I51" s="8">
        <f>+SUM(I46:I50)</f>
        <v>225600000</v>
      </c>
    </row>
    <row r="52" spans="1:11">
      <c r="A52" s="18" t="s">
        <v>173</v>
      </c>
      <c r="B52" s="5">
        <f>+B47*B48</f>
        <v>12000000000</v>
      </c>
      <c r="D52" s="18" t="s">
        <v>174</v>
      </c>
      <c r="E52" s="2">
        <v>60</v>
      </c>
      <c r="G52" s="158" t="s">
        <v>161</v>
      </c>
      <c r="H52" s="158"/>
      <c r="I52" s="37">
        <v>0.05</v>
      </c>
    </row>
    <row r="53" spans="1:11">
      <c r="A53" s="18" t="s">
        <v>172</v>
      </c>
      <c r="B53" s="5">
        <f>+B51*B49</f>
        <v>1440000000</v>
      </c>
      <c r="D53" s="18" t="s">
        <v>176</v>
      </c>
      <c r="E53" s="39">
        <f>+E52/E51</f>
        <v>0.5</v>
      </c>
      <c r="G53" s="50"/>
      <c r="H53" s="50"/>
      <c r="I53" s="59"/>
    </row>
    <row r="54" spans="1:11">
      <c r="A54" s="18" t="s">
        <v>150</v>
      </c>
      <c r="B54" s="2">
        <f>+B48+B49</f>
        <v>72</v>
      </c>
      <c r="D54" s="18" t="s">
        <v>175</v>
      </c>
      <c r="E54" s="2">
        <v>24</v>
      </c>
      <c r="G54" s="50"/>
      <c r="H54" s="50"/>
      <c r="I54" s="59"/>
    </row>
    <row r="55" spans="1:11">
      <c r="A55" s="18" t="s">
        <v>73</v>
      </c>
      <c r="B55" s="5">
        <f>+B52+B53</f>
        <v>13440000000</v>
      </c>
      <c r="D55" s="18" t="s">
        <v>177</v>
      </c>
      <c r="E55" s="2">
        <f>+E54*E53</f>
        <v>12</v>
      </c>
      <c r="G55" s="50"/>
      <c r="H55" s="50"/>
      <c r="I55" s="59"/>
    </row>
    <row r="56" spans="1:11">
      <c r="A56" s="18" t="s">
        <v>151</v>
      </c>
      <c r="B56" s="5">
        <f>+B55/B48</f>
        <v>224000000</v>
      </c>
      <c r="G56" s="50"/>
      <c r="H56" s="50"/>
      <c r="I56" s="59"/>
    </row>
    <row r="58" spans="1:11" ht="34.5" customHeight="1">
      <c r="A58" s="151" t="s">
        <v>93</v>
      </c>
      <c r="B58" s="152"/>
    </row>
    <row r="59" spans="1:11" ht="29.25" customHeight="1">
      <c r="A59" s="15" t="s">
        <v>155</v>
      </c>
      <c r="B59" s="5">
        <v>50000000</v>
      </c>
      <c r="E59" s="145" t="s">
        <v>101</v>
      </c>
      <c r="F59" s="146"/>
      <c r="G59" s="36" t="s">
        <v>102</v>
      </c>
      <c r="H59" s="36" t="s">
        <v>103</v>
      </c>
      <c r="I59" s="36" t="s">
        <v>113</v>
      </c>
      <c r="J59" s="36" t="s">
        <v>114</v>
      </c>
      <c r="K59" s="36" t="s">
        <v>115</v>
      </c>
    </row>
    <row r="60" spans="1:11">
      <c r="A60" s="15" t="s">
        <v>94</v>
      </c>
      <c r="B60" s="5">
        <f>4000000*12</f>
        <v>48000000</v>
      </c>
      <c r="E60" s="1" t="s">
        <v>106</v>
      </c>
      <c r="F60" s="37">
        <v>1</v>
      </c>
      <c r="G60" s="38">
        <v>7.0000000000000007E-2</v>
      </c>
      <c r="H60" s="38">
        <f>+G60*130%</f>
        <v>9.1000000000000011E-2</v>
      </c>
      <c r="I60" s="5">
        <f>+$H$12*H60</f>
        <v>72800000.000000015</v>
      </c>
      <c r="J60" s="5">
        <f t="shared" ref="J60:J65" si="11">+$H$13*H60</f>
        <v>52416000.000000007</v>
      </c>
      <c r="K60" s="5">
        <f t="shared" ref="K60:K66" si="12">+$H$14*H60</f>
        <v>26208000.000000004</v>
      </c>
    </row>
    <row r="61" spans="1:11">
      <c r="A61" s="15" t="s">
        <v>95</v>
      </c>
      <c r="B61" s="5">
        <f>45000000*12</f>
        <v>540000000</v>
      </c>
      <c r="E61" s="41" t="s">
        <v>104</v>
      </c>
      <c r="F61" s="37">
        <v>0.4</v>
      </c>
      <c r="G61" s="2"/>
      <c r="H61" s="39">
        <f>+H60*F61</f>
        <v>3.6400000000000009E-2</v>
      </c>
      <c r="I61" s="5">
        <f>+$H$12*H61</f>
        <v>29120000.000000007</v>
      </c>
      <c r="J61" s="5">
        <f t="shared" si="11"/>
        <v>20966400.000000004</v>
      </c>
      <c r="K61" s="5">
        <f t="shared" si="12"/>
        <v>10483200.000000002</v>
      </c>
    </row>
    <row r="62" spans="1:11">
      <c r="A62" s="15" t="s">
        <v>96</v>
      </c>
      <c r="B62" s="5">
        <f>12*20000000</f>
        <v>240000000</v>
      </c>
      <c r="E62" s="1" t="s">
        <v>105</v>
      </c>
      <c r="F62" s="37">
        <v>0.3</v>
      </c>
      <c r="G62" s="2"/>
      <c r="H62" s="38">
        <f>+F62*H61</f>
        <v>1.0920000000000003E-2</v>
      </c>
      <c r="I62" s="5">
        <f>+$H$12*H62</f>
        <v>8736000.0000000019</v>
      </c>
      <c r="J62" s="5">
        <f t="shared" si="11"/>
        <v>6289920.0000000019</v>
      </c>
      <c r="K62" s="5">
        <f t="shared" si="12"/>
        <v>3144960.0000000009</v>
      </c>
    </row>
    <row r="63" spans="1:11">
      <c r="A63" s="15" t="s">
        <v>97</v>
      </c>
      <c r="B63" s="5">
        <v>240000000</v>
      </c>
      <c r="E63" s="1" t="s">
        <v>107</v>
      </c>
      <c r="F63" s="37">
        <v>0.2</v>
      </c>
      <c r="G63" s="2"/>
      <c r="H63" s="38">
        <f t="shared" ref="H63:H67" si="13">+F63*H62</f>
        <v>2.1840000000000006E-3</v>
      </c>
      <c r="I63" s="5">
        <f>+$H$12*H63</f>
        <v>1747200.0000000005</v>
      </c>
      <c r="J63" s="5">
        <f t="shared" si="11"/>
        <v>1257984.0000000005</v>
      </c>
      <c r="K63" s="5">
        <f t="shared" si="12"/>
        <v>628992.00000000023</v>
      </c>
    </row>
    <row r="64" spans="1:11">
      <c r="A64" s="15" t="s">
        <v>74</v>
      </c>
      <c r="B64" s="5">
        <f>SUM(B59:B63)</f>
        <v>1118000000</v>
      </c>
      <c r="E64" s="1" t="s">
        <v>108</v>
      </c>
      <c r="F64" s="37">
        <v>0.1</v>
      </c>
      <c r="G64" s="2"/>
      <c r="H64" s="38">
        <f t="shared" si="13"/>
        <v>2.1840000000000008E-4</v>
      </c>
      <c r="I64" s="5">
        <f>+$H$12*H64</f>
        <v>174720.00000000006</v>
      </c>
      <c r="J64" s="5">
        <f t="shared" si="11"/>
        <v>125798.40000000004</v>
      </c>
      <c r="K64" s="5">
        <f t="shared" si="12"/>
        <v>62899.200000000019</v>
      </c>
    </row>
    <row r="65" spans="1:11">
      <c r="A65" s="15" t="s">
        <v>98</v>
      </c>
      <c r="B65" s="32">
        <v>0.1</v>
      </c>
      <c r="E65" s="1" t="s">
        <v>109</v>
      </c>
      <c r="F65" s="38">
        <v>7.4999999999999997E-2</v>
      </c>
      <c r="G65" s="2"/>
      <c r="H65" s="38">
        <f t="shared" si="13"/>
        <v>1.6380000000000006E-5</v>
      </c>
      <c r="I65" s="5">
        <v>0</v>
      </c>
      <c r="J65" s="5">
        <f t="shared" si="11"/>
        <v>9434.8800000000028</v>
      </c>
      <c r="K65" s="5">
        <f t="shared" si="12"/>
        <v>4717.4400000000014</v>
      </c>
    </row>
    <row r="66" spans="1:11">
      <c r="E66" s="1" t="s">
        <v>110</v>
      </c>
      <c r="F66" s="37">
        <v>0.05</v>
      </c>
      <c r="G66" s="2"/>
      <c r="H66" s="38">
        <f t="shared" si="13"/>
        <v>8.1900000000000033E-7</v>
      </c>
      <c r="I66" s="5">
        <v>0</v>
      </c>
      <c r="J66" s="5">
        <v>0</v>
      </c>
      <c r="K66" s="5">
        <f t="shared" si="12"/>
        <v>235.8720000000001</v>
      </c>
    </row>
    <row r="67" spans="1:11" ht="15.75">
      <c r="A67" s="143" t="s">
        <v>57</v>
      </c>
      <c r="B67" s="143"/>
      <c r="C67" s="143"/>
      <c r="E67" s="40" t="s">
        <v>100</v>
      </c>
      <c r="F67" s="37">
        <v>0.04</v>
      </c>
      <c r="G67" s="2"/>
      <c r="H67" s="38">
        <f t="shared" si="13"/>
        <v>3.2760000000000017E-8</v>
      </c>
      <c r="I67" s="5">
        <v>0</v>
      </c>
      <c r="J67" s="5">
        <v>0</v>
      </c>
      <c r="K67" s="5">
        <v>0</v>
      </c>
    </row>
    <row r="68" spans="1:11">
      <c r="A68" s="149" t="s">
        <v>59</v>
      </c>
      <c r="B68" s="150"/>
      <c r="C68" s="5">
        <v>300000000</v>
      </c>
      <c r="H68" s="48" t="s">
        <v>122</v>
      </c>
      <c r="I68" s="8">
        <f>+SUM(I60:I67)</f>
        <v>112577920.00000003</v>
      </c>
      <c r="J68" s="8">
        <f t="shared" ref="J68:K68" si="14">+SUM(J60:J67)</f>
        <v>81065537.280000016</v>
      </c>
      <c r="K68" s="8">
        <f t="shared" si="14"/>
        <v>40533004.512000009</v>
      </c>
    </row>
    <row r="69" spans="1:11">
      <c r="A69" s="149" t="s">
        <v>61</v>
      </c>
      <c r="B69" s="150"/>
      <c r="C69" s="5">
        <v>120000000</v>
      </c>
      <c r="H69" s="148" t="s">
        <v>123</v>
      </c>
      <c r="I69" s="148"/>
      <c r="J69" s="148"/>
      <c r="K69" s="8">
        <f>+SUM(I68:K68)</f>
        <v>234176461.79200006</v>
      </c>
    </row>
    <row r="70" spans="1:11">
      <c r="A70" s="149" t="s">
        <v>63</v>
      </c>
      <c r="B70" s="150"/>
      <c r="C70" s="5">
        <v>80000000</v>
      </c>
      <c r="H70" s="148" t="s">
        <v>124</v>
      </c>
      <c r="I70" s="148"/>
      <c r="J70" s="148"/>
      <c r="K70" s="8">
        <f>+K69/0.84</f>
        <v>278781502.13333338</v>
      </c>
    </row>
    <row r="71" spans="1:11">
      <c r="A71" s="149" t="s">
        <v>64</v>
      </c>
      <c r="B71" s="150"/>
      <c r="C71" s="5">
        <f>C70+C69+C68</f>
        <v>500000000</v>
      </c>
    </row>
    <row r="73" spans="1:11">
      <c r="A73" s="144" t="s">
        <v>19</v>
      </c>
      <c r="B73" s="144"/>
    </row>
    <row r="74" spans="1:11" ht="15.75">
      <c r="A74" s="144" t="s">
        <v>156</v>
      </c>
      <c r="B74" s="144"/>
      <c r="D74" s="143" t="s">
        <v>192</v>
      </c>
      <c r="E74" s="143"/>
      <c r="F74" s="143"/>
      <c r="G74" s="143"/>
    </row>
    <row r="75" spans="1:11">
      <c r="A75" s="2" t="s">
        <v>157</v>
      </c>
      <c r="B75" s="2">
        <v>5</v>
      </c>
      <c r="D75" s="77"/>
      <c r="E75" s="78" t="s">
        <v>193</v>
      </c>
      <c r="F75" s="78" t="s">
        <v>194</v>
      </c>
      <c r="G75" s="78" t="s">
        <v>195</v>
      </c>
    </row>
    <row r="76" spans="1:11">
      <c r="A76" s="2" t="s">
        <v>158</v>
      </c>
      <c r="B76" s="5">
        <v>2000000</v>
      </c>
      <c r="D76" s="79" t="s">
        <v>196</v>
      </c>
      <c r="E76" s="78">
        <v>100</v>
      </c>
      <c r="F76" s="78">
        <f>+E76*30</f>
        <v>3000</v>
      </c>
      <c r="G76" s="78">
        <f>+F76*12</f>
        <v>36000</v>
      </c>
    </row>
    <row r="77" spans="1:11">
      <c r="A77" s="2" t="s">
        <v>159</v>
      </c>
      <c r="B77" s="5">
        <f>+B75*B76</f>
        <v>10000000</v>
      </c>
      <c r="D77" s="79" t="s">
        <v>197</v>
      </c>
      <c r="E77" s="78">
        <v>45</v>
      </c>
      <c r="F77" s="78">
        <f>+E77*30</f>
        <v>1350</v>
      </c>
      <c r="G77" s="78">
        <f>+F77*12</f>
        <v>16200</v>
      </c>
    </row>
    <row r="78" spans="1:11">
      <c r="A78" s="2" t="s">
        <v>160</v>
      </c>
      <c r="B78" s="5">
        <f>+B77*12</f>
        <v>120000000</v>
      </c>
      <c r="D78" s="79" t="s">
        <v>198</v>
      </c>
      <c r="E78" s="78">
        <v>45</v>
      </c>
      <c r="F78" s="78">
        <f>+E78*30</f>
        <v>1350</v>
      </c>
      <c r="G78" s="78">
        <f>+F78*12</f>
        <v>16200</v>
      </c>
    </row>
    <row r="79" spans="1:11">
      <c r="A79" s="10" t="s">
        <v>161</v>
      </c>
      <c r="B79" s="37">
        <v>0.05</v>
      </c>
      <c r="D79" s="79" t="s">
        <v>199</v>
      </c>
      <c r="E79" s="78">
        <v>10</v>
      </c>
      <c r="F79" s="78">
        <f>+E79*30</f>
        <v>300</v>
      </c>
      <c r="G79" s="78">
        <f>+F79*12</f>
        <v>3600</v>
      </c>
    </row>
    <row r="80" spans="1:11">
      <c r="A80" s="10" t="s">
        <v>162</v>
      </c>
      <c r="B80" s="55">
        <v>1.4999999999999999E-2</v>
      </c>
      <c r="D80" s="79" t="s">
        <v>200</v>
      </c>
      <c r="E80" s="78">
        <f>+(E77*2)+(E78*3)+(E79*4)</f>
        <v>265</v>
      </c>
      <c r="F80" s="78">
        <f>+E80*30</f>
        <v>7950</v>
      </c>
      <c r="G80" s="78">
        <f>+F80*12</f>
        <v>95400</v>
      </c>
    </row>
    <row r="82" spans="1:4" ht="15.75">
      <c r="A82" s="143" t="s">
        <v>180</v>
      </c>
      <c r="B82" s="143"/>
      <c r="C82" s="71"/>
      <c r="D82" s="71"/>
    </row>
    <row r="83" spans="1:4">
      <c r="A83" s="18" t="s">
        <v>181</v>
      </c>
      <c r="B83" s="8">
        <v>1400000</v>
      </c>
      <c r="C83" s="71"/>
      <c r="D83" s="71"/>
    </row>
    <row r="84" spans="1:4">
      <c r="A84" s="72" t="s">
        <v>182</v>
      </c>
      <c r="B84" s="73">
        <v>1200000</v>
      </c>
      <c r="C84" s="71"/>
      <c r="D84" s="71"/>
    </row>
    <row r="85" spans="1:4">
      <c r="A85" s="18" t="s">
        <v>183</v>
      </c>
      <c r="B85" s="2">
        <v>30</v>
      </c>
      <c r="C85" s="74">
        <f>+B85*E77</f>
        <v>1350</v>
      </c>
      <c r="D85" s="75">
        <f>+B85*$B$83</f>
        <v>42000000</v>
      </c>
    </row>
    <row r="86" spans="1:4">
      <c r="A86" s="18" t="s">
        <v>184</v>
      </c>
      <c r="B86" s="74">
        <v>45</v>
      </c>
      <c r="C86" s="74">
        <f t="shared" ref="C86:C87" si="15">+B86*E78</f>
        <v>2025</v>
      </c>
      <c r="D86" s="75">
        <f t="shared" ref="D86:D87" si="16">+B86*$B$83</f>
        <v>63000000</v>
      </c>
    </row>
    <row r="87" spans="1:4">
      <c r="A87" s="18" t="s">
        <v>185</v>
      </c>
      <c r="B87" s="74">
        <v>60</v>
      </c>
      <c r="C87" s="74">
        <f t="shared" si="15"/>
        <v>600</v>
      </c>
      <c r="D87" s="75">
        <f t="shared" si="16"/>
        <v>84000000</v>
      </c>
    </row>
    <row r="88" spans="1:4">
      <c r="A88" s="144" t="s">
        <v>186</v>
      </c>
      <c r="B88" s="144"/>
      <c r="C88" s="74">
        <f>+SUM(C85:C87)</f>
        <v>3975</v>
      </c>
      <c r="D88" s="75">
        <f>+SUM(D85:D87)</f>
        <v>189000000</v>
      </c>
    </row>
    <row r="89" spans="1:4">
      <c r="A89" s="18" t="s">
        <v>187</v>
      </c>
      <c r="B89" s="10">
        <v>6000</v>
      </c>
      <c r="C89" s="71"/>
      <c r="D89" s="71"/>
    </row>
    <row r="90" spans="1:4">
      <c r="A90" s="18" t="s">
        <v>188</v>
      </c>
      <c r="B90" s="76">
        <f>+(B89+C88)*B83</f>
        <v>13965000000</v>
      </c>
      <c r="C90" s="71"/>
      <c r="D90" s="71"/>
    </row>
    <row r="91" spans="1:4">
      <c r="A91" s="18" t="s">
        <v>189</v>
      </c>
      <c r="B91" s="76">
        <f>+C88*B84</f>
        <v>4770000000</v>
      </c>
      <c r="C91" s="71"/>
      <c r="D91" s="71"/>
    </row>
    <row r="92" spans="1:4">
      <c r="A92" s="18" t="s">
        <v>190</v>
      </c>
      <c r="B92" s="76">
        <f>+B90+B91</f>
        <v>18735000000</v>
      </c>
      <c r="C92" s="71"/>
      <c r="D92" s="71"/>
    </row>
    <row r="93" spans="1:4">
      <c r="A93" s="18" t="s">
        <v>191</v>
      </c>
      <c r="B93" s="76">
        <f>+B89*B83</f>
        <v>8400000000</v>
      </c>
      <c r="C93" s="71"/>
      <c r="D93" s="71"/>
    </row>
    <row r="94" spans="1:4" ht="15.75" thickBot="1"/>
    <row r="95" spans="1:4" ht="15.75" thickBot="1">
      <c r="A95" s="80" t="s">
        <v>246</v>
      </c>
      <c r="B95" s="84">
        <v>2900000</v>
      </c>
    </row>
    <row r="97" spans="1:8">
      <c r="A97" s="144" t="s">
        <v>219</v>
      </c>
      <c r="B97" s="144"/>
      <c r="C97" s="144"/>
      <c r="D97" s="144"/>
    </row>
    <row r="98" spans="1:8" ht="45">
      <c r="A98" s="2" t="s">
        <v>220</v>
      </c>
      <c r="B98" s="85" t="s">
        <v>221</v>
      </c>
      <c r="C98" s="85" t="s">
        <v>222</v>
      </c>
      <c r="D98" s="85" t="s">
        <v>223</v>
      </c>
    </row>
    <row r="99" spans="1:8">
      <c r="A99" s="2" t="s">
        <v>224</v>
      </c>
      <c r="B99" s="62">
        <v>20</v>
      </c>
      <c r="C99" s="86">
        <f>+K87</f>
        <v>0</v>
      </c>
      <c r="D99" s="86">
        <f>C99/B99</f>
        <v>0</v>
      </c>
    </row>
    <row r="101" spans="1:8">
      <c r="A101" s="145" t="s">
        <v>101</v>
      </c>
      <c r="B101" s="146"/>
      <c r="C101" s="36" t="s">
        <v>102</v>
      </c>
      <c r="D101" s="36" t="s">
        <v>103</v>
      </c>
      <c r="E101" s="36" t="s">
        <v>225</v>
      </c>
      <c r="F101" s="36" t="s">
        <v>226</v>
      </c>
      <c r="G101" s="36" t="s">
        <v>227</v>
      </c>
      <c r="H101" s="36" t="s">
        <v>228</v>
      </c>
    </row>
    <row r="102" spans="1:8">
      <c r="A102" s="62" t="s">
        <v>106</v>
      </c>
      <c r="B102" s="37">
        <v>1</v>
      </c>
      <c r="C102" s="38">
        <v>7.0000000000000007E-2</v>
      </c>
      <c r="D102" s="38">
        <f>+C102*130%</f>
        <v>9.1000000000000011E-2</v>
      </c>
      <c r="E102" s="5">
        <f>+D102*$D$85</f>
        <v>3822000.0000000005</v>
      </c>
      <c r="F102" s="5">
        <f>+D102*$D$86</f>
        <v>5733000.0000000009</v>
      </c>
      <c r="G102" s="5">
        <f>+D102*$D$87</f>
        <v>7644000.0000000009</v>
      </c>
      <c r="H102" s="5">
        <f>+$B$89*$B$83*D102</f>
        <v>764400000.00000012</v>
      </c>
    </row>
    <row r="103" spans="1:8">
      <c r="A103" s="41" t="s">
        <v>104</v>
      </c>
      <c r="B103" s="37">
        <v>0.4</v>
      </c>
      <c r="C103" s="2"/>
      <c r="D103" s="39">
        <f>+D102*B103</f>
        <v>3.6400000000000009E-2</v>
      </c>
      <c r="E103" s="5">
        <f t="shared" ref="E103:E106" si="17">+D103*$D$85</f>
        <v>1528800.0000000005</v>
      </c>
      <c r="F103" s="5">
        <f t="shared" ref="F103:F107" si="18">+D103*$D$86</f>
        <v>2293200.0000000005</v>
      </c>
      <c r="G103" s="5">
        <f t="shared" ref="G103:G107" si="19">+D103*$D$87</f>
        <v>3057600.0000000009</v>
      </c>
      <c r="H103" s="5">
        <f t="shared" ref="H103" si="20">+$B$89*$B$83*D103</f>
        <v>305760000.00000006</v>
      </c>
    </row>
    <row r="104" spans="1:8">
      <c r="A104" s="62" t="s">
        <v>105</v>
      </c>
      <c r="B104" s="37">
        <v>0.3</v>
      </c>
      <c r="C104" s="2"/>
      <c r="D104" s="38">
        <f>+B104*D103</f>
        <v>1.0920000000000003E-2</v>
      </c>
      <c r="E104" s="5">
        <f t="shared" si="17"/>
        <v>458640.00000000012</v>
      </c>
      <c r="F104" s="5">
        <f t="shared" si="18"/>
        <v>687960.00000000012</v>
      </c>
      <c r="G104" s="5">
        <f t="shared" si="19"/>
        <v>917280.00000000023</v>
      </c>
      <c r="H104" s="5">
        <v>0</v>
      </c>
    </row>
    <row r="105" spans="1:8">
      <c r="A105" s="62" t="s">
        <v>107</v>
      </c>
      <c r="B105" s="37">
        <v>0.2</v>
      </c>
      <c r="C105" s="2"/>
      <c r="D105" s="38">
        <f t="shared" ref="D105:D109" si="21">+B105*D104</f>
        <v>2.1840000000000006E-3</v>
      </c>
      <c r="E105" s="5">
        <f t="shared" si="17"/>
        <v>91728.000000000029</v>
      </c>
      <c r="F105" s="5">
        <f t="shared" si="18"/>
        <v>137592.00000000003</v>
      </c>
      <c r="G105" s="5">
        <f t="shared" si="19"/>
        <v>183456.00000000006</v>
      </c>
      <c r="H105" s="5">
        <v>0</v>
      </c>
    </row>
    <row r="106" spans="1:8">
      <c r="A106" s="62" t="s">
        <v>108</v>
      </c>
      <c r="B106" s="37">
        <v>0.1</v>
      </c>
      <c r="C106" s="2"/>
      <c r="D106" s="38">
        <f t="shared" si="21"/>
        <v>2.1840000000000008E-4</v>
      </c>
      <c r="E106" s="5">
        <f t="shared" si="17"/>
        <v>9172.8000000000029</v>
      </c>
      <c r="F106" s="5">
        <f t="shared" si="18"/>
        <v>13759.200000000004</v>
      </c>
      <c r="G106" s="5">
        <f t="shared" si="19"/>
        <v>18345.600000000006</v>
      </c>
      <c r="H106" s="5">
        <v>0</v>
      </c>
    </row>
    <row r="107" spans="1:8">
      <c r="A107" s="62" t="s">
        <v>109</v>
      </c>
      <c r="B107" s="38">
        <v>7.4999999999999997E-2</v>
      </c>
      <c r="C107" s="2"/>
      <c r="D107" s="38">
        <f t="shared" si="21"/>
        <v>1.6380000000000006E-5</v>
      </c>
      <c r="E107" s="5">
        <v>0</v>
      </c>
      <c r="F107" s="5">
        <f t="shared" si="18"/>
        <v>1031.9400000000003</v>
      </c>
      <c r="G107" s="5">
        <f t="shared" si="19"/>
        <v>1375.9200000000005</v>
      </c>
      <c r="H107" s="5">
        <v>0</v>
      </c>
    </row>
    <row r="108" spans="1:8">
      <c r="A108" s="62" t="s">
        <v>110</v>
      </c>
      <c r="B108" s="37">
        <v>0.05</v>
      </c>
      <c r="C108" s="2"/>
      <c r="D108" s="38">
        <f t="shared" si="21"/>
        <v>8.1900000000000033E-7</v>
      </c>
      <c r="E108" s="5">
        <v>0</v>
      </c>
      <c r="F108" s="5">
        <v>0</v>
      </c>
      <c r="G108" s="5">
        <v>0</v>
      </c>
      <c r="H108" s="5">
        <v>0</v>
      </c>
    </row>
    <row r="109" spans="1:8">
      <c r="A109" s="40" t="s">
        <v>100</v>
      </c>
      <c r="B109" s="37">
        <v>0.04</v>
      </c>
      <c r="C109" s="2"/>
      <c r="D109" s="38">
        <f t="shared" si="21"/>
        <v>3.2760000000000017E-8</v>
      </c>
      <c r="E109" s="5">
        <v>0</v>
      </c>
      <c r="F109" s="5">
        <v>0</v>
      </c>
      <c r="G109" s="5">
        <v>0</v>
      </c>
      <c r="H109" s="5">
        <v>0</v>
      </c>
    </row>
    <row r="110" spans="1:8">
      <c r="D110" s="48" t="s">
        <v>122</v>
      </c>
      <c r="E110" s="8">
        <f>+SUM(E102:E109)</f>
        <v>5910340.8000000007</v>
      </c>
      <c r="F110" s="8">
        <f t="shared" ref="F110:G110" si="22">+SUM(F102:F109)</f>
        <v>8866543.1400000006</v>
      </c>
      <c r="G110" s="5">
        <f t="shared" si="22"/>
        <v>11822057.520000001</v>
      </c>
      <c r="H110" s="5">
        <f>+SUM(H102:H109)</f>
        <v>1070160000.0000002</v>
      </c>
    </row>
    <row r="111" spans="1:8">
      <c r="D111" s="140" t="s">
        <v>249</v>
      </c>
      <c r="E111" s="141"/>
      <c r="F111" s="141"/>
      <c r="G111" s="142"/>
      <c r="H111" s="5">
        <f>+SUM(E110:H110)</f>
        <v>1096758941.4600003</v>
      </c>
    </row>
    <row r="112" spans="1:8">
      <c r="D112" s="140" t="s">
        <v>250</v>
      </c>
      <c r="E112" s="141"/>
      <c r="F112" s="141"/>
      <c r="G112" s="142"/>
      <c r="H112" s="5">
        <f>+H111/0.84</f>
        <v>1305665406.5000005</v>
      </c>
    </row>
  </sheetData>
  <mergeCells count="35">
    <mergeCell ref="D74:G74"/>
    <mergeCell ref="A97:D97"/>
    <mergeCell ref="A73:B73"/>
    <mergeCell ref="C22:C23"/>
    <mergeCell ref="A74:B74"/>
    <mergeCell ref="G46:H46"/>
    <mergeCell ref="G47:H47"/>
    <mergeCell ref="G48:H48"/>
    <mergeCell ref="G49:H49"/>
    <mergeCell ref="G50:H50"/>
    <mergeCell ref="A71:B71"/>
    <mergeCell ref="G52:H52"/>
    <mergeCell ref="G45:I45"/>
    <mergeCell ref="G51:H51"/>
    <mergeCell ref="A1:M1"/>
    <mergeCell ref="A3:M3"/>
    <mergeCell ref="H69:J69"/>
    <mergeCell ref="H70:J70"/>
    <mergeCell ref="A69:B69"/>
    <mergeCell ref="A67:C67"/>
    <mergeCell ref="E59:F59"/>
    <mergeCell ref="A22:B22"/>
    <mergeCell ref="A58:B58"/>
    <mergeCell ref="A45:B45"/>
    <mergeCell ref="D45:E45"/>
    <mergeCell ref="A68:B68"/>
    <mergeCell ref="A70:B70"/>
    <mergeCell ref="M28:M29"/>
    <mergeCell ref="A28:L28"/>
    <mergeCell ref="A39:L39"/>
    <mergeCell ref="D111:G111"/>
    <mergeCell ref="D112:G112"/>
    <mergeCell ref="A82:B82"/>
    <mergeCell ref="A88:B88"/>
    <mergeCell ref="A101:B101"/>
  </mergeCells>
  <pageMargins left="0.7" right="0.7" top="0.75" bottom="0.75" header="0.3" footer="0.3"/>
  <pageSetup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opLeftCell="A22" zoomScaleNormal="100" workbookViewId="0">
      <selection activeCell="D46" sqref="D46"/>
    </sheetView>
  </sheetViews>
  <sheetFormatPr baseColWidth="10" defaultRowHeight="15"/>
  <cols>
    <col min="1" max="1" width="36.42578125" customWidth="1"/>
    <col min="2" max="2" width="22.5703125" customWidth="1"/>
    <col min="3" max="3" width="22" customWidth="1"/>
    <col min="4" max="4" width="19.7109375" bestFit="1" customWidth="1"/>
    <col min="5" max="5" width="17.42578125" customWidth="1"/>
    <col min="6" max="6" width="12.42578125" customWidth="1"/>
    <col min="7" max="7" width="14.28515625" customWidth="1"/>
    <col min="8" max="8" width="22.28515625" customWidth="1"/>
    <col min="9" max="9" width="21.42578125" customWidth="1"/>
    <col min="10" max="10" width="18.7109375" bestFit="1" customWidth="1"/>
    <col min="11" max="11" width="19.42578125" customWidth="1"/>
    <col min="12" max="12" width="34.140625" customWidth="1"/>
    <col min="13" max="13" width="22.42578125" customWidth="1"/>
    <col min="14" max="14" width="21.42578125" customWidth="1"/>
    <col min="15" max="15" width="16.7109375" customWidth="1"/>
    <col min="16" max="16" width="17.28515625" customWidth="1"/>
    <col min="17" max="17" width="17.7109375" bestFit="1" customWidth="1"/>
  </cols>
  <sheetData>
    <row r="1" spans="1:6" ht="30">
      <c r="A1" s="89" t="s">
        <v>201</v>
      </c>
      <c r="B1" s="90" t="s">
        <v>202</v>
      </c>
      <c r="C1" s="90" t="s">
        <v>203</v>
      </c>
      <c r="D1" s="101" t="s">
        <v>204</v>
      </c>
    </row>
    <row r="2" spans="1:6">
      <c r="A2" s="67" t="s">
        <v>205</v>
      </c>
      <c r="B2" s="47">
        <v>10000</v>
      </c>
      <c r="C2" s="5">
        <f>'DATOS GENERALES'!B95</f>
        <v>2900000</v>
      </c>
      <c r="D2" s="81">
        <f>+B2*C2</f>
        <v>29000000000</v>
      </c>
    </row>
    <row r="3" spans="1:6" ht="15.75" thickBot="1">
      <c r="A3" s="102" t="s">
        <v>209</v>
      </c>
      <c r="B3" s="103">
        <f>+B2</f>
        <v>10000</v>
      </c>
      <c r="C3" s="82">
        <f t="shared" ref="C3:D3" si="0">+C2</f>
        <v>2900000</v>
      </c>
      <c r="D3" s="83">
        <f t="shared" si="0"/>
        <v>29000000000</v>
      </c>
    </row>
    <row r="4" spans="1:6" ht="15.75" thickBot="1"/>
    <row r="5" spans="1:6" ht="60">
      <c r="A5" s="89" t="s">
        <v>201</v>
      </c>
      <c r="B5" s="90" t="s">
        <v>202</v>
      </c>
      <c r="C5" s="90" t="s">
        <v>203</v>
      </c>
      <c r="D5" s="91" t="s">
        <v>204</v>
      </c>
      <c r="E5" s="92" t="s">
        <v>230</v>
      </c>
      <c r="F5" s="93" t="s">
        <v>231</v>
      </c>
    </row>
    <row r="6" spans="1:6">
      <c r="A6" s="67" t="s">
        <v>206</v>
      </c>
      <c r="B6" s="47">
        <f t="shared" ref="B6:C8" si="1">+B13</f>
        <v>25000</v>
      </c>
      <c r="C6" s="5">
        <f t="shared" si="1"/>
        <v>2500000</v>
      </c>
      <c r="D6" s="88">
        <f>+B6*C6</f>
        <v>62500000000</v>
      </c>
      <c r="E6" s="32">
        <f>+D6/$D$9</f>
        <v>0.25773195876288657</v>
      </c>
      <c r="F6" s="94">
        <f>+B6/$B$9</f>
        <v>0.25773195876288657</v>
      </c>
    </row>
    <row r="7" spans="1:6">
      <c r="A7" s="67" t="s">
        <v>229</v>
      </c>
      <c r="B7" s="47">
        <f t="shared" si="1"/>
        <v>36000</v>
      </c>
      <c r="C7" s="5">
        <f t="shared" si="1"/>
        <v>2500000</v>
      </c>
      <c r="D7" s="88">
        <f t="shared" ref="D7:D8" si="2">+B7*C7</f>
        <v>90000000000</v>
      </c>
      <c r="E7" s="32">
        <f>+D7/$D$9</f>
        <v>0.37113402061855671</v>
      </c>
      <c r="F7" s="94">
        <f>+B7/$B$9</f>
        <v>0.37113402061855671</v>
      </c>
    </row>
    <row r="8" spans="1:6">
      <c r="A8" s="67" t="s">
        <v>207</v>
      </c>
      <c r="B8" s="47">
        <f t="shared" si="1"/>
        <v>36000</v>
      </c>
      <c r="C8" s="5">
        <f t="shared" si="1"/>
        <v>2500000</v>
      </c>
      <c r="D8" s="88">
        <f t="shared" si="2"/>
        <v>90000000000</v>
      </c>
      <c r="E8" s="32">
        <f>+D8/$D$9</f>
        <v>0.37113402061855671</v>
      </c>
      <c r="F8" s="94">
        <f>+B8/$B$9</f>
        <v>0.37113402061855671</v>
      </c>
    </row>
    <row r="9" spans="1:6" ht="15.75" thickBot="1">
      <c r="A9" s="87" t="s">
        <v>209</v>
      </c>
      <c r="B9" s="99">
        <f>+SUM(B6:B8)</f>
        <v>97000</v>
      </c>
      <c r="C9" s="99">
        <f t="shared" ref="C9:F9" si="3">+SUM(C6:C8)</f>
        <v>7500000</v>
      </c>
      <c r="D9" s="99">
        <f t="shared" si="3"/>
        <v>242500000000</v>
      </c>
      <c r="E9" s="97">
        <f t="shared" si="3"/>
        <v>1</v>
      </c>
      <c r="F9" s="97">
        <f t="shared" si="3"/>
        <v>1</v>
      </c>
    </row>
    <row r="10" spans="1:6" ht="15.75" thickBot="1"/>
    <row r="11" spans="1:6" ht="60">
      <c r="A11" s="89" t="s">
        <v>201</v>
      </c>
      <c r="B11" s="90" t="s">
        <v>202</v>
      </c>
      <c r="C11" s="90" t="s">
        <v>203</v>
      </c>
      <c r="D11" s="91" t="s">
        <v>204</v>
      </c>
      <c r="E11" s="92" t="s">
        <v>230</v>
      </c>
      <c r="F11" s="93" t="s">
        <v>231</v>
      </c>
    </row>
    <row r="12" spans="1:6">
      <c r="A12" s="67" t="s">
        <v>205</v>
      </c>
      <c r="B12" s="47">
        <v>10000</v>
      </c>
      <c r="C12" s="5">
        <f>+'DATOS GENERALES'!B95</f>
        <v>2900000</v>
      </c>
      <c r="D12" s="88">
        <f>+B12*C12</f>
        <v>29000000000</v>
      </c>
      <c r="E12" s="32">
        <f t="shared" ref="E12:E17" si="4">+D12/$D$17</f>
        <v>0.10681399631675875</v>
      </c>
      <c r="F12" s="94">
        <f t="shared" ref="F12:F17" si="5">+B12/$B$17</f>
        <v>9.3457943925233641E-2</v>
      </c>
    </row>
    <row r="13" spans="1:6">
      <c r="A13" s="67" t="s">
        <v>206</v>
      </c>
      <c r="B13" s="47">
        <f>+'DATOS GENERALES'!C12*'DATOS GENERALES'!B12</f>
        <v>25000</v>
      </c>
      <c r="C13" s="5">
        <f>+'DATOS GENERALES'!B9</f>
        <v>2500000</v>
      </c>
      <c r="D13" s="88">
        <f>+B13*C13</f>
        <v>62500000000</v>
      </c>
      <c r="E13" s="32">
        <f t="shared" si="4"/>
        <v>0.23020257826887661</v>
      </c>
      <c r="F13" s="94">
        <f t="shared" si="5"/>
        <v>0.23364485981308411</v>
      </c>
    </row>
    <row r="14" spans="1:6">
      <c r="A14" s="67" t="s">
        <v>229</v>
      </c>
      <c r="B14" s="47">
        <f>+'DATOS GENERALES'!B13*'DATOS GENERALES'!C13</f>
        <v>36000</v>
      </c>
      <c r="C14" s="5">
        <f>+'DATOS GENERALES'!B9</f>
        <v>2500000</v>
      </c>
      <c r="D14" s="88">
        <f t="shared" ref="D14:D15" si="6">+B14*C14</f>
        <v>90000000000</v>
      </c>
      <c r="E14" s="32">
        <f t="shared" si="4"/>
        <v>0.33149171270718231</v>
      </c>
      <c r="F14" s="94">
        <f t="shared" si="5"/>
        <v>0.3364485981308411</v>
      </c>
    </row>
    <row r="15" spans="1:6">
      <c r="A15" s="67" t="s">
        <v>207</v>
      </c>
      <c r="B15" s="47">
        <f>+'DATOS GENERALES'!B14*'DATOS GENERALES'!C14</f>
        <v>36000</v>
      </c>
      <c r="C15" s="5">
        <f>+'DATOS GENERALES'!B9</f>
        <v>2500000</v>
      </c>
      <c r="D15" s="88">
        <f t="shared" si="6"/>
        <v>90000000000</v>
      </c>
      <c r="E15" s="32">
        <f t="shared" si="4"/>
        <v>0.33149171270718231</v>
      </c>
      <c r="F15" s="94">
        <f t="shared" si="5"/>
        <v>0.3364485981308411</v>
      </c>
    </row>
    <row r="16" spans="1:6">
      <c r="A16" s="67" t="s">
        <v>208</v>
      </c>
      <c r="B16" s="47">
        <f>+SUM(B13:B15)</f>
        <v>97000</v>
      </c>
      <c r="C16" s="5"/>
      <c r="D16" s="88">
        <f>+SUM(D13:D15)</f>
        <v>242500000000</v>
      </c>
      <c r="E16" s="32">
        <f t="shared" si="4"/>
        <v>0.8931860036832413</v>
      </c>
      <c r="F16" s="94">
        <f t="shared" si="5"/>
        <v>0.90654205607476634</v>
      </c>
    </row>
    <row r="17" spans="1:8" ht="15.75" thickBot="1">
      <c r="A17" s="87" t="s">
        <v>209</v>
      </c>
      <c r="B17" s="99">
        <f>+B16+B12</f>
        <v>107000</v>
      </c>
      <c r="C17" s="95"/>
      <c r="D17" s="96">
        <f>+D16+D12</f>
        <v>271500000000</v>
      </c>
      <c r="E17" s="97">
        <f t="shared" si="4"/>
        <v>1</v>
      </c>
      <c r="F17" s="98">
        <f t="shared" si="5"/>
        <v>1</v>
      </c>
    </row>
    <row r="19" spans="1:8">
      <c r="A19" s="161"/>
      <c r="B19" s="161"/>
      <c r="C19" s="161"/>
      <c r="D19" s="161"/>
    </row>
    <row r="20" spans="1:8" ht="15.75">
      <c r="A20" s="162" t="s">
        <v>262</v>
      </c>
      <c r="B20" s="162"/>
      <c r="C20" s="162"/>
      <c r="D20" s="162"/>
    </row>
    <row r="21" spans="1:8">
      <c r="A21" s="10" t="s">
        <v>230</v>
      </c>
      <c r="B21" s="32">
        <f>+B23/D23</f>
        <v>0.10681399631675875</v>
      </c>
      <c r="C21" s="32">
        <f>+C23/D23</f>
        <v>0.8931860036832413</v>
      </c>
      <c r="D21" s="16">
        <v>1</v>
      </c>
    </row>
    <row r="22" spans="1:8">
      <c r="A22" s="61" t="s">
        <v>210</v>
      </c>
      <c r="B22" s="61" t="s">
        <v>205</v>
      </c>
      <c r="C22" s="61" t="s">
        <v>211</v>
      </c>
      <c r="D22" s="61" t="s">
        <v>209</v>
      </c>
    </row>
    <row r="23" spans="1:8">
      <c r="A23" s="2" t="s">
        <v>212</v>
      </c>
      <c r="B23" s="8">
        <f>+D12</f>
        <v>29000000000</v>
      </c>
      <c r="C23" s="8">
        <f>+D16</f>
        <v>242500000000</v>
      </c>
      <c r="D23" s="8">
        <f>+D17</f>
        <v>271500000000</v>
      </c>
    </row>
    <row r="24" spans="1:8">
      <c r="A24" s="10" t="s">
        <v>233</v>
      </c>
      <c r="B24" s="8">
        <f>+('DATOS GENERALES'!C88+'DATOS GENERALES'!B89)*'DATOS GENERALES'!B5</f>
        <v>3990000000</v>
      </c>
      <c r="C24" s="8">
        <f>+('DATOS GENERALES'!B5*'DATOS GENERALES'!$B$12*'DATOS GENERALES'!$C$12)+('DATOS GENERALES'!B5*'DATOS GENERALES'!$B$13*'DATOS GENERALES'!$C$13)+('DATOS GENERALES'!B5*'DATOS GENERALES'!$B$14*'DATOS GENERALES'!$C$14)</f>
        <v>38800000000</v>
      </c>
      <c r="D24" s="8">
        <f t="shared" ref="D24:D29" si="7">+B24+C24</f>
        <v>42790000000</v>
      </c>
      <c r="G24" s="100"/>
    </row>
    <row r="25" spans="1:8">
      <c r="A25" s="2" t="s">
        <v>214</v>
      </c>
      <c r="B25" s="8">
        <f>+'DATOS GENERALES'!B83*('DATOS GENERALES'!C88+'DATOS GENERALES'!B89)</f>
        <v>13965000000</v>
      </c>
      <c r="C25" s="8">
        <f>+('DATOS GENERALES'!B6*'DATOS GENERALES'!$B$12*'DATOS GENERALES'!$C$12)+('DATOS GENERALES'!B6*'DATOS GENERALES'!$B$13*'DATOS GENERALES'!$C$13)+('DATOS GENERALES'!B6*'DATOS GENERALES'!$B$14*'DATOS GENERALES'!$C$14)</f>
        <v>116400000000</v>
      </c>
      <c r="D25" s="8">
        <f t="shared" si="7"/>
        <v>130365000000</v>
      </c>
      <c r="G25" s="100"/>
    </row>
    <row r="26" spans="1:8">
      <c r="A26" s="2" t="s">
        <v>218</v>
      </c>
      <c r="B26" s="8">
        <f>+'DATOS GENERALES'!H112</f>
        <v>1305665406.5000005</v>
      </c>
      <c r="C26" s="8">
        <f>+'DATOS GENERALES'!K70</f>
        <v>278781502.13333338</v>
      </c>
      <c r="D26" s="8">
        <f t="shared" si="7"/>
        <v>1584446908.6333339</v>
      </c>
      <c r="G26" s="3"/>
    </row>
    <row r="27" spans="1:8">
      <c r="A27" s="2" t="s">
        <v>215</v>
      </c>
      <c r="B27" s="8">
        <v>0</v>
      </c>
      <c r="C27" s="8">
        <f>+'FLUJO DE TESORERÍA '!B18+'FLUJO DE TESORERÍA '!B27+SUM('FLUJO DE TESORERÍA '!B28:L28)</f>
        <v>4113751183.820807</v>
      </c>
      <c r="D27" s="8">
        <f t="shared" si="7"/>
        <v>4113751183.820807</v>
      </c>
      <c r="G27" s="100"/>
    </row>
    <row r="28" spans="1:8">
      <c r="A28" s="2" t="s">
        <v>36</v>
      </c>
      <c r="B28" s="8">
        <f>+B23*'DATOS GENERALES'!$B$80+(B21*SUM('FLUJO DE TESORERÍA '!A26:L26))</f>
        <v>596219396.03576398</v>
      </c>
      <c r="C28" s="8">
        <f>+C23*'DATOS GENERALES'!$B$80+(C21*SUM('FLUJO DE TESORERÍA '!B26:L26))</f>
        <v>4985627708.2300949</v>
      </c>
      <c r="D28" s="8">
        <f t="shared" si="7"/>
        <v>5581847104.2658587</v>
      </c>
      <c r="G28" s="100"/>
    </row>
    <row r="29" spans="1:8">
      <c r="A29" s="2" t="s">
        <v>217</v>
      </c>
      <c r="B29" s="8">
        <f>+'DATOS GENERALES'!B120</f>
        <v>0</v>
      </c>
      <c r="C29" s="8">
        <f>+SUM('FLUJO DE TESORERÍA '!B25:L25)</f>
        <v>7671597535.7137995</v>
      </c>
      <c r="D29" s="8">
        <f t="shared" si="7"/>
        <v>7671597535.7137995</v>
      </c>
    </row>
    <row r="30" spans="1:8">
      <c r="A30" s="107" t="str">
        <f>A45</f>
        <v>TOTAL DESARROLLOS INMOBILIARIOS</v>
      </c>
      <c r="B30" s="125">
        <f>SUM(B24:B29)</f>
        <v>19856884802.535763</v>
      </c>
      <c r="C30" s="125">
        <f t="shared" ref="C30:D30" si="8">SUM(C24:C29)</f>
        <v>172249757929.89804</v>
      </c>
      <c r="D30" s="125">
        <f t="shared" si="8"/>
        <v>192106642732.43381</v>
      </c>
      <c r="G30" s="100"/>
    </row>
    <row r="31" spans="1:8">
      <c r="A31" s="2" t="s">
        <v>213</v>
      </c>
      <c r="B31" s="8">
        <f>+'DATOS GENERALES'!B56*2</f>
        <v>448000000</v>
      </c>
      <c r="C31" s="8">
        <f>+'DATOS GENERALES'!B55-B31</f>
        <v>12992000000</v>
      </c>
      <c r="D31" s="8">
        <f>+B31+C31</f>
        <v>13440000000</v>
      </c>
      <c r="G31" s="3"/>
    </row>
    <row r="32" spans="1:8">
      <c r="A32" s="2" t="str">
        <f>A47</f>
        <v>TOTAL COSTOS DESARROLLOS</v>
      </c>
      <c r="B32" s="8">
        <f>B30+B31</f>
        <v>20304884802.535763</v>
      </c>
      <c r="C32" s="8">
        <f t="shared" ref="C32:D32" si="9">C30+C31</f>
        <v>185241757929.89804</v>
      </c>
      <c r="D32" s="8">
        <f t="shared" si="9"/>
        <v>205546642732.43381</v>
      </c>
      <c r="G32" s="100"/>
      <c r="H32" s="100"/>
    </row>
    <row r="33" spans="1:17" ht="15.75">
      <c r="A33" s="163" t="s">
        <v>145</v>
      </c>
      <c r="B33" s="104">
        <f>B23-B32</f>
        <v>8695115197.4642372</v>
      </c>
      <c r="C33" s="104">
        <f t="shared" ref="C33:D33" si="10">C23-C32</f>
        <v>57258242070.101959</v>
      </c>
      <c r="D33" s="104">
        <f t="shared" si="10"/>
        <v>65953357267.566193</v>
      </c>
      <c r="G33" s="105"/>
      <c r="H33" s="105"/>
    </row>
    <row r="34" spans="1:17">
      <c r="A34" s="163"/>
      <c r="B34" s="114">
        <f>B33/B23</f>
        <v>0.29983155853324955</v>
      </c>
      <c r="C34" s="114">
        <f t="shared" ref="C34:D34" si="11">C33/C23</f>
        <v>0.23611646214475035</v>
      </c>
      <c r="D34" s="114">
        <f t="shared" si="11"/>
        <v>0.24292212621571341</v>
      </c>
    </row>
    <row r="35" spans="1:17" ht="17.25" customHeight="1"/>
    <row r="36" spans="1:17" ht="17.25" customHeight="1">
      <c r="A36" s="61" t="s">
        <v>210</v>
      </c>
      <c r="B36" s="140" t="s">
        <v>206</v>
      </c>
      <c r="C36" s="141"/>
      <c r="D36" s="142"/>
    </row>
    <row r="37" spans="1:17" ht="17.25" customHeight="1">
      <c r="A37" s="2" t="s">
        <v>212</v>
      </c>
      <c r="B37" s="169">
        <f>D6</f>
        <v>62500000000</v>
      </c>
      <c r="C37" s="170"/>
      <c r="D37" s="171"/>
    </row>
    <row r="38" spans="1:17" s="113" customFormat="1" ht="18.75" customHeight="1">
      <c r="A38" s="110" t="s">
        <v>237</v>
      </c>
      <c r="B38" s="111" t="s">
        <v>239</v>
      </c>
      <c r="C38" s="110" t="s">
        <v>240</v>
      </c>
      <c r="D38" s="112">
        <f>D47/B13</f>
        <v>1909708.8446381241</v>
      </c>
      <c r="E38" s="130"/>
    </row>
    <row r="39" spans="1:17" ht="17.25" customHeight="1">
      <c r="A39" s="2" t="s">
        <v>233</v>
      </c>
      <c r="B39" s="114">
        <f>D39/$D$45</f>
        <v>0.2252543078509914</v>
      </c>
      <c r="C39" s="114">
        <f>D39/$B$37</f>
        <v>0.16</v>
      </c>
      <c r="D39" s="5">
        <f>(C24/B16)*B13</f>
        <v>10000000000</v>
      </c>
      <c r="Q39" s="3"/>
    </row>
    <row r="40" spans="1:17">
      <c r="A40" s="2" t="s">
        <v>214</v>
      </c>
      <c r="B40" s="114">
        <f t="shared" ref="B40:B44" si="12">D40/$D$45</f>
        <v>0.67576292355297418</v>
      </c>
      <c r="C40" s="114">
        <f t="shared" ref="C40:C44" si="13">D40/$B$37</f>
        <v>0.48</v>
      </c>
      <c r="D40" s="5">
        <f>(C25/B16)*B13</f>
        <v>30000000000</v>
      </c>
    </row>
    <row r="41" spans="1:17">
      <c r="A41" s="2" t="s">
        <v>218</v>
      </c>
      <c r="B41" s="114">
        <f t="shared" si="12"/>
        <v>1.6184725336263839E-3</v>
      </c>
      <c r="C41" s="114">
        <f t="shared" si="13"/>
        <v>1.1496144417869419E-3</v>
      </c>
      <c r="D41" s="5">
        <f>(C26/B16)*B13</f>
        <v>71850902.61168386</v>
      </c>
    </row>
    <row r="42" spans="1:17">
      <c r="A42" s="2" t="s">
        <v>215</v>
      </c>
      <c r="B42" s="114">
        <f t="shared" si="12"/>
        <v>2.3882478752132792E-2</v>
      </c>
      <c r="C42" s="114">
        <f t="shared" si="13"/>
        <v>1.6963922407508481E-2</v>
      </c>
      <c r="D42" s="5">
        <f>(C27/B16)*B13</f>
        <v>1060245150.4692801</v>
      </c>
    </row>
    <row r="43" spans="1:17">
      <c r="A43" s="2" t="s">
        <v>216</v>
      </c>
      <c r="B43" s="114">
        <f t="shared" si="12"/>
        <v>2.8944178314950889E-2</v>
      </c>
      <c r="C43" s="114">
        <f t="shared" si="13"/>
        <v>2.0559289518474615E-2</v>
      </c>
      <c r="D43" s="5">
        <f>(C28/B16)*B13</f>
        <v>1284955594.9046636</v>
      </c>
    </row>
    <row r="44" spans="1:17">
      <c r="A44" s="2" t="s">
        <v>217</v>
      </c>
      <c r="B44" s="114">
        <f t="shared" si="12"/>
        <v>4.4537638995324307E-2</v>
      </c>
      <c r="C44" s="114">
        <f t="shared" si="13"/>
        <v>3.163545375552082E-2</v>
      </c>
      <c r="D44" s="5">
        <f>(C29/B16)*B13</f>
        <v>1977215859.7200513</v>
      </c>
    </row>
    <row r="45" spans="1:17">
      <c r="A45" s="107" t="s">
        <v>241</v>
      </c>
      <c r="B45" s="2"/>
      <c r="C45" s="115">
        <f>SUM(C39:C44)</f>
        <v>0.71030828012329084</v>
      </c>
      <c r="D45" s="108">
        <f>SUM(D39:D44)</f>
        <v>44394267507.705681</v>
      </c>
    </row>
    <row r="46" spans="1:17">
      <c r="A46" s="2" t="s">
        <v>213</v>
      </c>
      <c r="B46" s="2"/>
      <c r="C46" s="114">
        <f>D46/B37</f>
        <v>5.3575257731958759E-2</v>
      </c>
      <c r="D46" s="5">
        <f>(C31/B16)*B13</f>
        <v>3348453608.2474222</v>
      </c>
    </row>
    <row r="47" spans="1:17">
      <c r="A47" s="48" t="s">
        <v>238</v>
      </c>
      <c r="B47" s="2"/>
      <c r="C47" s="116">
        <f>C46+C45</f>
        <v>0.76388353785524954</v>
      </c>
      <c r="D47" s="109">
        <f>D46+D45</f>
        <v>47742721115.953102</v>
      </c>
      <c r="E47" s="3"/>
    </row>
    <row r="48" spans="1:17">
      <c r="A48" s="48" t="s">
        <v>145</v>
      </c>
      <c r="B48" s="48"/>
      <c r="C48" s="116">
        <f>100%-C47</f>
        <v>0.23611646214475046</v>
      </c>
      <c r="D48" s="109">
        <f>B37-D47</f>
        <v>14757278884.046898</v>
      </c>
    </row>
    <row r="49" spans="1:10">
      <c r="A49" s="117"/>
      <c r="B49" s="117"/>
      <c r="C49" s="118"/>
      <c r="D49" s="119"/>
      <c r="J49" s="3"/>
    </row>
    <row r="50" spans="1:10">
      <c r="A50" s="106" t="s">
        <v>210</v>
      </c>
      <c r="B50" s="140" t="s">
        <v>229</v>
      </c>
      <c r="C50" s="141"/>
      <c r="D50" s="142"/>
    </row>
    <row r="51" spans="1:10">
      <c r="A51" s="2" t="s">
        <v>212</v>
      </c>
      <c r="B51" s="169">
        <f>D7</f>
        <v>90000000000</v>
      </c>
      <c r="C51" s="170"/>
      <c r="D51" s="171"/>
    </row>
    <row r="52" spans="1:10">
      <c r="A52" s="110" t="s">
        <v>237</v>
      </c>
      <c r="B52" s="120" t="str">
        <f>B38</f>
        <v>Incidencia Mtr² Const.</v>
      </c>
      <c r="C52" s="121" t="str">
        <f>C38</f>
        <v>Incidencia Mtr² Ventas</v>
      </c>
      <c r="D52" s="112">
        <f>D61/B14</f>
        <v>1909708.8446381239</v>
      </c>
    </row>
    <row r="53" spans="1:10">
      <c r="A53" s="2" t="s">
        <v>233</v>
      </c>
      <c r="B53" s="114">
        <f t="shared" ref="B53:B58" si="14">D53/$D$59</f>
        <v>0.2252543078509914</v>
      </c>
      <c r="C53" s="114">
        <f t="shared" ref="C53:C58" si="15">D53/$B$51</f>
        <v>0.16</v>
      </c>
      <c r="D53" s="5">
        <f>(C24/B16)*B14</f>
        <v>14400000000</v>
      </c>
    </row>
    <row r="54" spans="1:10">
      <c r="A54" s="2" t="s">
        <v>214</v>
      </c>
      <c r="B54" s="114">
        <f t="shared" si="14"/>
        <v>0.67576292355297418</v>
      </c>
      <c r="C54" s="114">
        <f t="shared" si="15"/>
        <v>0.48</v>
      </c>
      <c r="D54" s="5">
        <f>(C25/B16)*B14</f>
        <v>43200000000</v>
      </c>
    </row>
    <row r="55" spans="1:10">
      <c r="A55" s="2" t="s">
        <v>218</v>
      </c>
      <c r="B55" s="114">
        <f t="shared" si="14"/>
        <v>1.6184725336263841E-3</v>
      </c>
      <c r="C55" s="114">
        <f t="shared" si="15"/>
        <v>1.1496144417869419E-3</v>
      </c>
      <c r="D55" s="5">
        <f>(C26/B16)*B14</f>
        <v>103465299.76082477</v>
      </c>
    </row>
    <row r="56" spans="1:10">
      <c r="A56" s="2" t="s">
        <v>215</v>
      </c>
      <c r="B56" s="114">
        <f t="shared" si="14"/>
        <v>2.3882478752132792E-2</v>
      </c>
      <c r="C56" s="114">
        <f t="shared" si="15"/>
        <v>1.6963922407508481E-2</v>
      </c>
      <c r="D56" s="5">
        <f>(C27/B16)*B14</f>
        <v>1526753016.6757634</v>
      </c>
    </row>
    <row r="57" spans="1:10">
      <c r="A57" s="2" t="s">
        <v>216</v>
      </c>
      <c r="B57" s="114">
        <f t="shared" si="14"/>
        <v>2.8944178314950893E-2</v>
      </c>
      <c r="C57" s="114">
        <f t="shared" si="15"/>
        <v>2.0559289518474619E-2</v>
      </c>
      <c r="D57" s="5">
        <f>(C28/B16)*B14</f>
        <v>1850336056.6627157</v>
      </c>
    </row>
    <row r="58" spans="1:10">
      <c r="A58" s="2" t="s">
        <v>217</v>
      </c>
      <c r="B58" s="114">
        <f t="shared" si="14"/>
        <v>4.4537638995324307E-2</v>
      </c>
      <c r="C58" s="114">
        <f t="shared" si="15"/>
        <v>3.163545375552082E-2</v>
      </c>
      <c r="D58" s="5">
        <f>(C29/B16)*B14</f>
        <v>2847190837.9968739</v>
      </c>
    </row>
    <row r="59" spans="1:10">
      <c r="A59" s="107" t="s">
        <v>241</v>
      </c>
      <c r="B59" s="2"/>
      <c r="C59" s="115">
        <f>SUM(C53:C58)</f>
        <v>0.71030828012329084</v>
      </c>
      <c r="D59" s="108">
        <f>SUM(D53:D58)</f>
        <v>63927745211.096176</v>
      </c>
    </row>
    <row r="60" spans="1:10">
      <c r="A60" s="2" t="s">
        <v>213</v>
      </c>
      <c r="B60" s="2"/>
      <c r="C60" s="114">
        <f>D60/B51</f>
        <v>5.3575257731958759E-2</v>
      </c>
      <c r="D60" s="5">
        <f>(C31/B16)*B14</f>
        <v>4821773195.8762884</v>
      </c>
    </row>
    <row r="61" spans="1:10">
      <c r="A61" s="48" t="s">
        <v>238</v>
      </c>
      <c r="B61" s="2"/>
      <c r="C61" s="116">
        <f>C60+C59</f>
        <v>0.76388353785524954</v>
      </c>
      <c r="D61" s="109">
        <f>D60+D59</f>
        <v>68749518406.972458</v>
      </c>
    </row>
    <row r="62" spans="1:10">
      <c r="A62" s="48" t="s">
        <v>145</v>
      </c>
      <c r="B62" s="48"/>
      <c r="C62" s="116">
        <f>100%-C61</f>
        <v>0.23611646214475046</v>
      </c>
      <c r="D62" s="109">
        <f>B51-D61</f>
        <v>21250481593.027542</v>
      </c>
    </row>
    <row r="64" spans="1:10">
      <c r="A64" s="106" t="s">
        <v>210</v>
      </c>
      <c r="B64" s="140" t="s">
        <v>207</v>
      </c>
      <c r="C64" s="141"/>
      <c r="D64" s="142"/>
    </row>
    <row r="65" spans="1:7">
      <c r="A65" s="2" t="s">
        <v>212</v>
      </c>
      <c r="B65" s="169">
        <f>D8</f>
        <v>90000000000</v>
      </c>
      <c r="C65" s="170"/>
      <c r="D65" s="171"/>
    </row>
    <row r="66" spans="1:7">
      <c r="A66" s="110" t="s">
        <v>237</v>
      </c>
      <c r="B66" s="122" t="str">
        <f>B52</f>
        <v>Incidencia Mtr² Const.</v>
      </c>
      <c r="C66" s="121" t="str">
        <f>C52</f>
        <v>Incidencia Mtr² Ventas</v>
      </c>
      <c r="D66" s="112">
        <f>D75/B7</f>
        <v>1909708.8446381239</v>
      </c>
    </row>
    <row r="67" spans="1:7">
      <c r="A67" s="2" t="s">
        <v>233</v>
      </c>
      <c r="B67" s="114">
        <f t="shared" ref="B67:B72" si="16">D67/$D$59</f>
        <v>0.2252543078509914</v>
      </c>
      <c r="C67" s="114">
        <f t="shared" ref="C67:C72" si="17">D67/$B$51</f>
        <v>0.16</v>
      </c>
      <c r="D67" s="5">
        <f>(C24/B16)*B15</f>
        <v>14400000000</v>
      </c>
    </row>
    <row r="68" spans="1:7">
      <c r="A68" s="2" t="s">
        <v>214</v>
      </c>
      <c r="B68" s="114">
        <f t="shared" si="16"/>
        <v>0.67576292355297418</v>
      </c>
      <c r="C68" s="114">
        <f t="shared" si="17"/>
        <v>0.48</v>
      </c>
      <c r="D68" s="5">
        <f>(C25/B16)*B15</f>
        <v>43200000000</v>
      </c>
    </row>
    <row r="69" spans="1:7">
      <c r="A69" s="2" t="s">
        <v>218</v>
      </c>
      <c r="B69" s="114">
        <f t="shared" si="16"/>
        <v>1.6184725336263841E-3</v>
      </c>
      <c r="C69" s="114">
        <f t="shared" si="17"/>
        <v>1.1496144417869419E-3</v>
      </c>
      <c r="D69" s="5">
        <f>(C26/B16)*B15</f>
        <v>103465299.76082477</v>
      </c>
    </row>
    <row r="70" spans="1:7">
      <c r="A70" s="2" t="s">
        <v>215</v>
      </c>
      <c r="B70" s="114">
        <f t="shared" si="16"/>
        <v>2.3882478752132792E-2</v>
      </c>
      <c r="C70" s="114">
        <f t="shared" si="17"/>
        <v>1.6963922407508481E-2</v>
      </c>
      <c r="D70" s="5">
        <f>(C27/B16)*B15</f>
        <v>1526753016.6757634</v>
      </c>
    </row>
    <row r="71" spans="1:7">
      <c r="A71" s="2" t="s">
        <v>216</v>
      </c>
      <c r="B71" s="114">
        <f t="shared" si="16"/>
        <v>2.8944178314950893E-2</v>
      </c>
      <c r="C71" s="114">
        <f t="shared" si="17"/>
        <v>2.0559289518474619E-2</v>
      </c>
      <c r="D71" s="5">
        <f>(C28/B16)*B15</f>
        <v>1850336056.6627157</v>
      </c>
    </row>
    <row r="72" spans="1:7">
      <c r="A72" s="2" t="s">
        <v>217</v>
      </c>
      <c r="B72" s="114">
        <f t="shared" si="16"/>
        <v>4.4537638995324307E-2</v>
      </c>
      <c r="C72" s="114">
        <f t="shared" si="17"/>
        <v>3.163545375552082E-2</v>
      </c>
      <c r="D72" s="5">
        <f>(C29/B16)*B15</f>
        <v>2847190837.9968739</v>
      </c>
    </row>
    <row r="73" spans="1:7">
      <c r="A73" s="107" t="s">
        <v>241</v>
      </c>
      <c r="B73" s="2"/>
      <c r="C73" s="115">
        <f>SUM(C67:C72)</f>
        <v>0.71030828012329084</v>
      </c>
      <c r="D73" s="108">
        <f>SUM(D67:D72)</f>
        <v>63927745211.096176</v>
      </c>
    </row>
    <row r="74" spans="1:7">
      <c r="A74" s="2" t="s">
        <v>213</v>
      </c>
      <c r="B74" s="2"/>
      <c r="C74" s="114">
        <f>D74/B65</f>
        <v>5.3575257731958759E-2</v>
      </c>
      <c r="D74" s="5">
        <f>(C31/B16)*B15</f>
        <v>4821773195.8762884</v>
      </c>
    </row>
    <row r="75" spans="1:7">
      <c r="A75" s="48" t="s">
        <v>238</v>
      </c>
      <c r="B75" s="2"/>
      <c r="C75" s="116">
        <f>C74+C73</f>
        <v>0.76388353785524954</v>
      </c>
      <c r="D75" s="109">
        <f>D74+D73</f>
        <v>68749518406.972458</v>
      </c>
    </row>
    <row r="76" spans="1:7">
      <c r="A76" s="48" t="s">
        <v>145</v>
      </c>
      <c r="B76" s="48"/>
      <c r="C76" s="116">
        <f>100%-C75</f>
        <v>0.23611646214475046</v>
      </c>
      <c r="D76" s="109">
        <f>B65-D75</f>
        <v>21250481593.027542</v>
      </c>
    </row>
    <row r="78" spans="1:7">
      <c r="A78" s="127" t="s">
        <v>210</v>
      </c>
      <c r="B78" s="133" t="str">
        <f>B36</f>
        <v>VIVIENDA TIPO I</v>
      </c>
      <c r="C78" s="133" t="str">
        <f>B50</f>
        <v>VIVIENDA TIPO II</v>
      </c>
      <c r="D78" s="133" t="str">
        <f>B64</f>
        <v>VIVIENDA TIPO III</v>
      </c>
      <c r="E78" s="127" t="s">
        <v>242</v>
      </c>
      <c r="F78" s="164" t="s">
        <v>258</v>
      </c>
      <c r="G78" s="165"/>
    </row>
    <row r="79" spans="1:7">
      <c r="A79" s="2" t="s">
        <v>212</v>
      </c>
      <c r="B79" s="134">
        <f>B37</f>
        <v>62500000000</v>
      </c>
      <c r="C79" s="134">
        <f>B51</f>
        <v>90000000000</v>
      </c>
      <c r="D79" s="134">
        <f>B65</f>
        <v>90000000000</v>
      </c>
      <c r="E79" s="8">
        <f>D79+C79+B79</f>
        <v>242500000000</v>
      </c>
      <c r="F79" s="166"/>
      <c r="G79" s="167"/>
    </row>
    <row r="80" spans="1:7" s="137" customFormat="1" ht="31.5" customHeight="1">
      <c r="A80" s="135" t="s">
        <v>257</v>
      </c>
      <c r="B80" s="122">
        <f>D66</f>
        <v>1909708.8446381239</v>
      </c>
      <c r="C80" s="122">
        <f>B80</f>
        <v>1909708.8446381239</v>
      </c>
      <c r="D80" s="139">
        <f>C80</f>
        <v>1909708.8446381239</v>
      </c>
      <c r="E80" s="136"/>
      <c r="F80" s="138" t="str">
        <f>B66</f>
        <v>Incidencia Mtr² Const.</v>
      </c>
      <c r="G80" s="138" t="str">
        <f>C66</f>
        <v>Incidencia Mtr² Ventas</v>
      </c>
    </row>
    <row r="81" spans="1:7">
      <c r="A81" s="2" t="s">
        <v>233</v>
      </c>
      <c r="B81" s="131">
        <f>D39</f>
        <v>10000000000</v>
      </c>
      <c r="C81" s="131">
        <f>D53</f>
        <v>14400000000</v>
      </c>
      <c r="D81" s="5">
        <f>D67</f>
        <v>14400000000</v>
      </c>
      <c r="E81" s="8">
        <f t="shared" ref="E81:E90" si="18">D81+C81+B81</f>
        <v>38800000000</v>
      </c>
      <c r="F81" s="114">
        <f t="shared" ref="F81:G81" si="19">B67</f>
        <v>0.2252543078509914</v>
      </c>
      <c r="G81" s="114">
        <f t="shared" si="19"/>
        <v>0.16</v>
      </c>
    </row>
    <row r="82" spans="1:7">
      <c r="A82" s="2" t="s">
        <v>214</v>
      </c>
      <c r="B82" s="131">
        <f t="shared" ref="B82:B90" si="20">D40</f>
        <v>30000000000</v>
      </c>
      <c r="C82" s="131">
        <f t="shared" ref="C82:C90" si="21">D54</f>
        <v>43200000000</v>
      </c>
      <c r="D82" s="5">
        <f t="shared" ref="D82:D90" si="22">D68</f>
        <v>43200000000</v>
      </c>
      <c r="E82" s="8">
        <f t="shared" si="18"/>
        <v>116400000000</v>
      </c>
      <c r="F82" s="114">
        <f t="shared" ref="F82:G82" si="23">B68</f>
        <v>0.67576292355297418</v>
      </c>
      <c r="G82" s="114">
        <f t="shared" si="23"/>
        <v>0.48</v>
      </c>
    </row>
    <row r="83" spans="1:7">
      <c r="A83" s="2" t="s">
        <v>218</v>
      </c>
      <c r="B83" s="131">
        <f t="shared" si="20"/>
        <v>71850902.61168386</v>
      </c>
      <c r="C83" s="131">
        <f t="shared" si="21"/>
        <v>103465299.76082477</v>
      </c>
      <c r="D83" s="5">
        <f t="shared" si="22"/>
        <v>103465299.76082477</v>
      </c>
      <c r="E83" s="8">
        <f t="shared" si="18"/>
        <v>278781502.13333338</v>
      </c>
      <c r="F83" s="114">
        <f t="shared" ref="F83:G83" si="24">B69</f>
        <v>1.6184725336263841E-3</v>
      </c>
      <c r="G83" s="114">
        <f t="shared" si="24"/>
        <v>1.1496144417869419E-3</v>
      </c>
    </row>
    <row r="84" spans="1:7">
      <c r="A84" s="2" t="s">
        <v>215</v>
      </c>
      <c r="B84" s="131">
        <f t="shared" si="20"/>
        <v>1060245150.4692801</v>
      </c>
      <c r="C84" s="131">
        <f t="shared" si="21"/>
        <v>1526753016.6757634</v>
      </c>
      <c r="D84" s="5">
        <f t="shared" si="22"/>
        <v>1526753016.6757634</v>
      </c>
      <c r="E84" s="8">
        <f t="shared" si="18"/>
        <v>4113751183.820807</v>
      </c>
      <c r="F84" s="114">
        <f t="shared" ref="F84:G84" si="25">B70</f>
        <v>2.3882478752132792E-2</v>
      </c>
      <c r="G84" s="114">
        <f t="shared" si="25"/>
        <v>1.6963922407508481E-2</v>
      </c>
    </row>
    <row r="85" spans="1:7">
      <c r="A85" s="2" t="s">
        <v>216</v>
      </c>
      <c r="B85" s="131">
        <f t="shared" si="20"/>
        <v>1284955594.9046636</v>
      </c>
      <c r="C85" s="131">
        <f t="shared" si="21"/>
        <v>1850336056.6627157</v>
      </c>
      <c r="D85" s="5">
        <f t="shared" si="22"/>
        <v>1850336056.6627157</v>
      </c>
      <c r="E85" s="8">
        <f t="shared" si="18"/>
        <v>4985627708.2300949</v>
      </c>
      <c r="F85" s="114">
        <f t="shared" ref="F85:G85" si="26">B71</f>
        <v>2.8944178314950893E-2</v>
      </c>
      <c r="G85" s="114">
        <f t="shared" si="26"/>
        <v>2.0559289518474619E-2</v>
      </c>
    </row>
    <row r="86" spans="1:7">
      <c r="A86" s="2" t="s">
        <v>217</v>
      </c>
      <c r="B86" s="131">
        <f t="shared" si="20"/>
        <v>1977215859.7200513</v>
      </c>
      <c r="C86" s="131">
        <f t="shared" si="21"/>
        <v>2847190837.9968739</v>
      </c>
      <c r="D86" s="5">
        <f t="shared" si="22"/>
        <v>2847190837.9968739</v>
      </c>
      <c r="E86" s="8">
        <f t="shared" si="18"/>
        <v>7671597535.7137985</v>
      </c>
      <c r="F86" s="114">
        <f t="shared" ref="F86:G86" si="27">B72</f>
        <v>4.4537638995324307E-2</v>
      </c>
      <c r="G86" s="114">
        <f t="shared" si="27"/>
        <v>3.163545375552082E-2</v>
      </c>
    </row>
    <row r="87" spans="1:7">
      <c r="A87" s="107" t="s">
        <v>241</v>
      </c>
      <c r="B87" s="132">
        <f t="shared" si="20"/>
        <v>44394267507.705681</v>
      </c>
      <c r="C87" s="132">
        <f t="shared" si="21"/>
        <v>63927745211.096176</v>
      </c>
      <c r="D87" s="109">
        <f t="shared" si="22"/>
        <v>63927745211.096176</v>
      </c>
      <c r="E87" s="125">
        <f t="shared" si="18"/>
        <v>172249757929.89804</v>
      </c>
      <c r="F87" s="114"/>
      <c r="G87" s="129">
        <f t="shared" ref="G87" si="28">C73</f>
        <v>0.71030828012329084</v>
      </c>
    </row>
    <row r="88" spans="1:7">
      <c r="A88" s="2" t="s">
        <v>213</v>
      </c>
      <c r="B88" s="131">
        <f t="shared" si="20"/>
        <v>3348453608.2474222</v>
      </c>
      <c r="C88" s="131">
        <f t="shared" si="21"/>
        <v>4821773195.8762884</v>
      </c>
      <c r="D88" s="5">
        <f t="shared" si="22"/>
        <v>4821773195.8762884</v>
      </c>
      <c r="E88" s="8">
        <f t="shared" si="18"/>
        <v>12992000000</v>
      </c>
      <c r="F88" s="114"/>
      <c r="G88" s="114">
        <f t="shared" ref="G88" si="29">C74</f>
        <v>5.3575257731958759E-2</v>
      </c>
    </row>
    <row r="89" spans="1:7">
      <c r="A89" s="48" t="s">
        <v>238</v>
      </c>
      <c r="B89" s="132">
        <f t="shared" si="20"/>
        <v>47742721115.953102</v>
      </c>
      <c r="C89" s="132">
        <f t="shared" si="21"/>
        <v>68749518406.972458</v>
      </c>
      <c r="D89" s="109">
        <f t="shared" si="22"/>
        <v>68749518406.972458</v>
      </c>
      <c r="E89" s="125">
        <f t="shared" si="18"/>
        <v>185241757929.89801</v>
      </c>
      <c r="F89" s="114"/>
      <c r="G89" s="129">
        <f t="shared" ref="G89" si="30">C75</f>
        <v>0.76388353785524954</v>
      </c>
    </row>
    <row r="90" spans="1:7">
      <c r="A90" s="48" t="s">
        <v>145</v>
      </c>
      <c r="B90" s="132">
        <f t="shared" si="20"/>
        <v>14757278884.046898</v>
      </c>
      <c r="C90" s="132">
        <f t="shared" si="21"/>
        <v>21250481593.027542</v>
      </c>
      <c r="D90" s="109">
        <f t="shared" si="22"/>
        <v>21250481593.027542</v>
      </c>
      <c r="E90" s="125">
        <f t="shared" si="18"/>
        <v>57258242070.101982</v>
      </c>
      <c r="F90" s="114"/>
      <c r="G90" s="129">
        <f t="shared" ref="G90" si="31">C76</f>
        <v>0.23611646214475046</v>
      </c>
    </row>
    <row r="93" spans="1:7">
      <c r="A93" s="148" t="s">
        <v>243</v>
      </c>
      <c r="B93" s="148"/>
      <c r="C93" s="148"/>
      <c r="D93" s="148"/>
      <c r="E93" s="106" t="s">
        <v>244</v>
      </c>
    </row>
    <row r="94" spans="1:7">
      <c r="A94" s="128" t="str">
        <f>A65</f>
        <v>INGRESOS POR VENTAS</v>
      </c>
      <c r="B94" s="172">
        <f>B23</f>
        <v>29000000000</v>
      </c>
      <c r="C94" s="173"/>
      <c r="D94" s="174"/>
      <c r="E94" s="125">
        <f>B94+E65</f>
        <v>29000000000</v>
      </c>
    </row>
    <row r="95" spans="1:7">
      <c r="A95" s="48" t="str">
        <f>A38</f>
        <v>COSTOS DESARROLLO INMOBILIARIO</v>
      </c>
      <c r="B95" s="125" t="str">
        <f>B66</f>
        <v>Incidencia Mtr² Const.</v>
      </c>
      <c r="C95" s="48" t="str">
        <f>C66</f>
        <v>Incidencia Mtr² Ventas</v>
      </c>
      <c r="D95" s="8">
        <f>D104/('DATOS GENERALES'!C88+'DATOS GENERALES'!B89)</f>
        <v>2035577.4238131091</v>
      </c>
      <c r="E95" s="124"/>
    </row>
    <row r="96" spans="1:7">
      <c r="A96" s="2" t="s">
        <v>233</v>
      </c>
      <c r="B96" s="32">
        <f t="shared" ref="B96:B101" si="32">D96/$D$102</f>
        <v>0.20093786309776393</v>
      </c>
      <c r="C96" s="114">
        <f t="shared" ref="C96:C104" si="33">D96/$B$94</f>
        <v>0.13758620689655171</v>
      </c>
      <c r="D96" s="126">
        <f t="shared" ref="D96:D101" si="34">B24</f>
        <v>3990000000</v>
      </c>
      <c r="E96" s="76">
        <f t="shared" ref="E96:E105" si="35">D96+E67</f>
        <v>3990000000</v>
      </c>
    </row>
    <row r="97" spans="1:5">
      <c r="A97" s="2" t="s">
        <v>214</v>
      </c>
      <c r="B97" s="32">
        <f t="shared" si="32"/>
        <v>0.70328252084217369</v>
      </c>
      <c r="C97" s="114">
        <f t="shared" si="33"/>
        <v>0.48155172413793101</v>
      </c>
      <c r="D97" s="126">
        <f t="shared" si="34"/>
        <v>13965000000</v>
      </c>
      <c r="E97" s="76">
        <f t="shared" si="35"/>
        <v>13965000000</v>
      </c>
    </row>
    <row r="98" spans="1:5">
      <c r="A98" s="2" t="s">
        <v>218</v>
      </c>
      <c r="B98" s="32">
        <f t="shared" si="32"/>
        <v>6.5753788647314126E-2</v>
      </c>
      <c r="C98" s="114">
        <f t="shared" si="33"/>
        <v>4.5022945051724154E-2</v>
      </c>
      <c r="D98" s="126">
        <f t="shared" si="34"/>
        <v>1305665406.5000005</v>
      </c>
      <c r="E98" s="76">
        <f t="shared" si="35"/>
        <v>1305665406.5000005</v>
      </c>
    </row>
    <row r="99" spans="1:5">
      <c r="A99" s="2" t="s">
        <v>215</v>
      </c>
      <c r="B99" s="32">
        <f t="shared" si="32"/>
        <v>0</v>
      </c>
      <c r="C99" s="114">
        <f t="shared" si="33"/>
        <v>0</v>
      </c>
      <c r="D99" s="126">
        <f t="shared" si="34"/>
        <v>0</v>
      </c>
      <c r="E99" s="76">
        <f t="shared" si="35"/>
        <v>0</v>
      </c>
    </row>
    <row r="100" spans="1:5">
      <c r="A100" s="2" t="s">
        <v>36</v>
      </c>
      <c r="B100" s="32">
        <f t="shared" si="32"/>
        <v>3.0025827412748327E-2</v>
      </c>
      <c r="C100" s="114">
        <f t="shared" si="33"/>
        <v>2.0559289518474619E-2</v>
      </c>
      <c r="D100" s="126">
        <f t="shared" si="34"/>
        <v>596219396.03576398</v>
      </c>
      <c r="E100" s="76">
        <f t="shared" si="35"/>
        <v>596219396.03576398</v>
      </c>
    </row>
    <row r="101" spans="1:5">
      <c r="A101" s="2" t="s">
        <v>217</v>
      </c>
      <c r="B101" s="32">
        <f t="shared" si="32"/>
        <v>0</v>
      </c>
      <c r="C101" s="114">
        <f t="shared" si="33"/>
        <v>0</v>
      </c>
      <c r="D101" s="126">
        <f t="shared" si="34"/>
        <v>0</v>
      </c>
      <c r="E101" s="76">
        <f t="shared" si="35"/>
        <v>0</v>
      </c>
    </row>
    <row r="102" spans="1:5">
      <c r="A102" s="107" t="s">
        <v>241</v>
      </c>
      <c r="B102" s="107"/>
      <c r="C102" s="129">
        <f t="shared" si="33"/>
        <v>0.68472016560468152</v>
      </c>
      <c r="D102" s="125">
        <f>SUM(D96:D101)</f>
        <v>19856884802.535763</v>
      </c>
      <c r="E102" s="108">
        <f t="shared" si="35"/>
        <v>19856884802.535763</v>
      </c>
    </row>
    <row r="103" spans="1:5">
      <c r="A103" s="2" t="s">
        <v>213</v>
      </c>
      <c r="B103" s="2"/>
      <c r="C103" s="114">
        <f t="shared" si="33"/>
        <v>1.5448275862068966E-2</v>
      </c>
      <c r="D103" s="8">
        <f>B31</f>
        <v>448000000</v>
      </c>
      <c r="E103" s="76">
        <f t="shared" si="35"/>
        <v>448000000</v>
      </c>
    </row>
    <row r="104" spans="1:5">
      <c r="A104" s="48" t="s">
        <v>238</v>
      </c>
      <c r="B104" s="48"/>
      <c r="C104" s="129">
        <f t="shared" si="33"/>
        <v>0.70016844146675039</v>
      </c>
      <c r="D104" s="125">
        <f>D103+D102</f>
        <v>20304884802.535763</v>
      </c>
      <c r="E104" s="125">
        <f t="shared" si="35"/>
        <v>20304884802.535763</v>
      </c>
    </row>
    <row r="105" spans="1:5">
      <c r="A105" s="48" t="s">
        <v>145</v>
      </c>
      <c r="B105" s="48"/>
      <c r="C105" s="114">
        <f>100%-C104</f>
        <v>0.29983155853324961</v>
      </c>
      <c r="D105" s="125">
        <f>B94-D104</f>
        <v>8695115197.4642372</v>
      </c>
      <c r="E105" s="125">
        <f t="shared" si="35"/>
        <v>8695115197.4642372</v>
      </c>
    </row>
    <row r="107" spans="1:5">
      <c r="A107" s="168" t="s">
        <v>256</v>
      </c>
      <c r="B107" s="168"/>
      <c r="C107" s="168"/>
      <c r="D107" s="168"/>
    </row>
    <row r="108" spans="1:5">
      <c r="A108" s="2"/>
      <c r="B108" s="127" t="s">
        <v>254</v>
      </c>
      <c r="C108" s="127" t="s">
        <v>229</v>
      </c>
      <c r="D108" s="127" t="s">
        <v>207</v>
      </c>
    </row>
    <row r="109" spans="1:5">
      <c r="A109" s="2" t="str">
        <f>A104</f>
        <v>TOTAL COSTOS DESARROLLOS</v>
      </c>
      <c r="B109" s="5">
        <f>D47</f>
        <v>47742721115.953102</v>
      </c>
      <c r="C109" s="5">
        <f>D61</f>
        <v>68749518406.972458</v>
      </c>
      <c r="D109" s="5">
        <f>D75</f>
        <v>68749518406.972458</v>
      </c>
    </row>
    <row r="110" spans="1:5">
      <c r="A110" s="2" t="s">
        <v>253</v>
      </c>
      <c r="B110" s="40">
        <f>'DATOS GENERALES'!C12</f>
        <v>50</v>
      </c>
      <c r="C110" s="40">
        <f>'DATOS GENERALES'!C13</f>
        <v>100</v>
      </c>
      <c r="D110" s="40">
        <f>'DATOS GENERALES'!C14</f>
        <v>200</v>
      </c>
    </row>
    <row r="111" spans="1:5">
      <c r="A111" s="2" t="s">
        <v>255</v>
      </c>
      <c r="B111" s="8">
        <f>D47/B110</f>
        <v>954854422.31906199</v>
      </c>
      <c r="C111" s="8">
        <f>D61/C110</f>
        <v>687495184.06972456</v>
      </c>
      <c r="D111" s="8">
        <f>D75/D110</f>
        <v>343747592.03486228</v>
      </c>
    </row>
  </sheetData>
  <mergeCells count="13">
    <mergeCell ref="A19:D19"/>
    <mergeCell ref="A20:D20"/>
    <mergeCell ref="A33:A34"/>
    <mergeCell ref="F78:G79"/>
    <mergeCell ref="A107:D107"/>
    <mergeCell ref="A93:D93"/>
    <mergeCell ref="B36:D36"/>
    <mergeCell ref="B37:D37"/>
    <mergeCell ref="B50:D50"/>
    <mergeCell ref="B51:D51"/>
    <mergeCell ref="B64:D64"/>
    <mergeCell ref="B65:D65"/>
    <mergeCell ref="B94:D9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opLeftCell="A7" zoomScaleNormal="100" workbookViewId="0">
      <selection activeCell="A25" sqref="A25"/>
    </sheetView>
  </sheetViews>
  <sheetFormatPr baseColWidth="10" defaultRowHeight="15"/>
  <cols>
    <col min="1" max="1" width="50.140625" bestFit="1" customWidth="1"/>
    <col min="2" max="2" width="19.7109375" customWidth="1"/>
    <col min="3" max="3" width="18.42578125" customWidth="1"/>
    <col min="4" max="5" width="19" customWidth="1"/>
    <col min="6" max="6" width="19.7109375" customWidth="1"/>
    <col min="7" max="7" width="19" customWidth="1"/>
    <col min="8" max="10" width="19.7109375" customWidth="1"/>
    <col min="11" max="11" width="19" customWidth="1"/>
    <col min="12" max="12" width="17.7109375" customWidth="1"/>
    <col min="13" max="13" width="18.7109375" customWidth="1"/>
    <col min="14" max="14" width="18.28515625" customWidth="1"/>
    <col min="15" max="15" width="20.140625" customWidth="1"/>
    <col min="16" max="16" width="20.42578125" bestFit="1" customWidth="1"/>
    <col min="17" max="17" width="21" bestFit="1" customWidth="1"/>
    <col min="19" max="19" width="12" bestFit="1" customWidth="1"/>
  </cols>
  <sheetData>
    <row r="1" spans="1:12" ht="21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8.75">
      <c r="A2" s="175" t="s">
        <v>77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>
      <c r="A3" t="s">
        <v>75</v>
      </c>
      <c r="B3" s="19" t="s">
        <v>139</v>
      </c>
      <c r="C3" s="19" t="s">
        <v>17</v>
      </c>
      <c r="D3" s="19" t="s">
        <v>18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27</v>
      </c>
    </row>
    <row r="4" spans="1:1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7" t="s">
        <v>3</v>
      </c>
      <c r="B6" s="2"/>
      <c r="C6" s="8">
        <f>B34</f>
        <v>108918497.86666679</v>
      </c>
      <c r="D6" s="8">
        <f t="shared" ref="D6:L6" si="0">C34</f>
        <v>1099457497.8666668</v>
      </c>
      <c r="E6" s="8">
        <f t="shared" si="0"/>
        <v>2134029897.8666687</v>
      </c>
      <c r="F6" s="8">
        <f t="shared" si="0"/>
        <v>4205515467.8666687</v>
      </c>
      <c r="G6" s="8">
        <f t="shared" si="0"/>
        <v>9861753604.8666687</v>
      </c>
      <c r="H6" s="8">
        <f t="shared" si="0"/>
        <v>24537221439.375</v>
      </c>
      <c r="I6" s="8">
        <f t="shared" si="0"/>
        <v>34734179011.392075</v>
      </c>
      <c r="J6" s="8">
        <f t="shared" si="0"/>
        <v>43464724321.548355</v>
      </c>
      <c r="K6" s="8">
        <f t="shared" si="0"/>
        <v>44431295981.930794</v>
      </c>
      <c r="L6" s="8">
        <f t="shared" si="0"/>
        <v>47916726218.367859</v>
      </c>
    </row>
    <row r="7" spans="1:12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0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>
      <c r="A9" s="7" t="s">
        <v>137</v>
      </c>
      <c r="B9" s="5">
        <f>+'DATOS GENERALES'!$I$12*'DATOS GENERALES'!B34</f>
        <v>0</v>
      </c>
      <c r="C9" s="5">
        <f>+'DATOS GENERALES'!$I$12*'DATOS GENERALES'!C34</f>
        <v>2500000000</v>
      </c>
      <c r="D9" s="5">
        <f>+'DATOS GENERALES'!$I$12*'DATOS GENERALES'!D34</f>
        <v>5000000000</v>
      </c>
      <c r="E9" s="5">
        <f>+'DATOS GENERALES'!$I$12*'DATOS GENERALES'!E34</f>
        <v>7500000000</v>
      </c>
      <c r="F9" s="5">
        <f>+'DATOS GENERALES'!$I$12*'DATOS GENERALES'!F34</f>
        <v>10000000000</v>
      </c>
      <c r="G9" s="5">
        <f>+'DATOS GENERALES'!$I$12*'DATOS GENERALES'!G34</f>
        <v>12500000000</v>
      </c>
      <c r="H9" s="5">
        <f>+'DATOS GENERALES'!$I$12*'DATOS GENERALES'!H34</f>
        <v>10000000000</v>
      </c>
      <c r="I9" s="5">
        <f>+'DATOS GENERALES'!$I$12*'DATOS GENERALES'!I34</f>
        <v>7500000000</v>
      </c>
      <c r="J9" s="5">
        <f>+'DATOS GENERALES'!$I$12*'DATOS GENERALES'!J34</f>
        <v>5000000000</v>
      </c>
      <c r="K9" s="5">
        <f>+'DATOS GENERALES'!$I$12*'DATOS GENERALES'!K34</f>
        <v>2500000000</v>
      </c>
      <c r="L9" s="5">
        <f>+'DATOS GENERALES'!$I$12*'DATOS GENERALES'!L34</f>
        <v>0</v>
      </c>
    </row>
    <row r="10" spans="1:12">
      <c r="A10" s="7" t="s">
        <v>138</v>
      </c>
      <c r="B10" s="5">
        <f>+'DATOS GENERALES'!$I$13*'DATOS GENERALES'!B35</f>
        <v>0</v>
      </c>
      <c r="C10" s="5">
        <f>+'DATOS GENERALES'!$I$13*'DATOS GENERALES'!C35</f>
        <v>5400000000</v>
      </c>
      <c r="D10" s="5">
        <f>+'DATOS GENERALES'!$I$13*'DATOS GENERALES'!D35</f>
        <v>7200000000</v>
      </c>
      <c r="E10" s="5">
        <f>+'DATOS GENERALES'!$I$13*'DATOS GENERALES'!E35</f>
        <v>9000000000</v>
      </c>
      <c r="F10" s="5">
        <f>+'DATOS GENERALES'!$I$13*'DATOS GENERALES'!F35</f>
        <v>10800000000</v>
      </c>
      <c r="G10" s="5">
        <f>+'DATOS GENERALES'!$I$13*'DATOS GENERALES'!G35</f>
        <v>12600000000</v>
      </c>
      <c r="H10" s="5">
        <f>+'DATOS GENERALES'!$I$13*'DATOS GENERALES'!H35</f>
        <v>12600000000</v>
      </c>
      <c r="I10" s="5">
        <f>+'DATOS GENERALES'!$I$13*'DATOS GENERALES'!I35</f>
        <v>10800000000</v>
      </c>
      <c r="J10" s="5">
        <f>+'DATOS GENERALES'!$I$13*'DATOS GENERALES'!J35</f>
        <v>9000000000</v>
      </c>
      <c r="K10" s="5">
        <f>+'DATOS GENERALES'!$I$13*'DATOS GENERALES'!K35</f>
        <v>7200000000</v>
      </c>
      <c r="L10" s="5">
        <f>+'DATOS GENERALES'!$I$13*'DATOS GENERALES'!L35</f>
        <v>5400000000</v>
      </c>
    </row>
    <row r="11" spans="1:12">
      <c r="A11" s="7" t="s">
        <v>247</v>
      </c>
      <c r="B11" s="5">
        <f>+'DATOS GENERALES'!$I$14*'DATOS GENERALES'!B36</f>
        <v>0</v>
      </c>
      <c r="C11" s="5">
        <f>+'DATOS GENERALES'!$I$14*'DATOS GENERALES'!C36</f>
        <v>5400000000</v>
      </c>
      <c r="D11" s="5">
        <f>+'DATOS GENERALES'!$I$14*'DATOS GENERALES'!D36</f>
        <v>7200000000</v>
      </c>
      <c r="E11" s="5">
        <f>+'DATOS GENERALES'!$I$14*'DATOS GENERALES'!E36</f>
        <v>9000000000</v>
      </c>
      <c r="F11" s="5">
        <f>+'DATOS GENERALES'!$I$14*'DATOS GENERALES'!F36</f>
        <v>10800000000</v>
      </c>
      <c r="G11" s="5">
        <f>+'DATOS GENERALES'!$I$14*'DATOS GENERALES'!G36</f>
        <v>12600000000</v>
      </c>
      <c r="H11" s="5">
        <f>+'DATOS GENERALES'!$I$14*'DATOS GENERALES'!H36</f>
        <v>12600000000</v>
      </c>
      <c r="I11" s="5">
        <f>+'DATOS GENERALES'!$I$14*'DATOS GENERALES'!I36</f>
        <v>10800000000</v>
      </c>
      <c r="J11" s="5">
        <f>+'DATOS GENERALES'!$I$14*'DATOS GENERALES'!J36</f>
        <v>9000000000</v>
      </c>
      <c r="K11" s="5">
        <f>+'DATOS GENERALES'!$I$14*'DATOS GENERALES'!K36</f>
        <v>7200000000</v>
      </c>
      <c r="L11" s="5">
        <f>+'DATOS GENERALES'!$I$14*'DATOS GENERALES'!L36</f>
        <v>5400000000</v>
      </c>
    </row>
    <row r="12" spans="1:12">
      <c r="A12" s="7" t="s">
        <v>248</v>
      </c>
      <c r="B12" s="5"/>
      <c r="C12" s="5"/>
      <c r="D12" s="5"/>
      <c r="E12" s="5"/>
      <c r="F12" s="5"/>
      <c r="G12" s="5">
        <f>'ESTRUCTURA FINANCIERA'!$B$23/3</f>
        <v>9666666666.666666</v>
      </c>
      <c r="H12" s="5">
        <f>'ESTRUCTURA FINANCIERA'!$B$23/3</f>
        <v>9666666666.666666</v>
      </c>
      <c r="I12" s="5">
        <f>'ESTRUCTURA FINANCIERA'!$B$23/3</f>
        <v>9666666666.666666</v>
      </c>
      <c r="J12" s="5"/>
      <c r="K12" s="5"/>
      <c r="L12" s="5"/>
    </row>
    <row r="13" spans="1:12">
      <c r="A13" s="7" t="s">
        <v>5</v>
      </c>
      <c r="B13" s="5">
        <v>6000000000</v>
      </c>
      <c r="C13" s="5">
        <v>2000000000</v>
      </c>
      <c r="D13" s="5">
        <v>500000000</v>
      </c>
      <c r="E13" s="2"/>
      <c r="F13" s="2"/>
      <c r="G13" s="2"/>
      <c r="H13" s="2"/>
      <c r="I13" s="2"/>
      <c r="J13" s="2"/>
      <c r="K13" s="2"/>
      <c r="L13" s="2"/>
    </row>
    <row r="14" spans="1:1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20" t="s">
        <v>6</v>
      </c>
      <c r="B15" s="21">
        <f>SUM(B9:B14)+B6</f>
        <v>6000000000</v>
      </c>
      <c r="C15" s="21">
        <f t="shared" ref="C15:L15" si="1">SUM(C9:C14)+C6</f>
        <v>15408918497.866667</v>
      </c>
      <c r="D15" s="21">
        <f t="shared" si="1"/>
        <v>20999457497.866669</v>
      </c>
      <c r="E15" s="21">
        <f t="shared" si="1"/>
        <v>27634029897.866669</v>
      </c>
      <c r="F15" s="21">
        <f t="shared" si="1"/>
        <v>35805515467.866669</v>
      </c>
      <c r="G15" s="21">
        <f t="shared" si="1"/>
        <v>57228420271.533333</v>
      </c>
      <c r="H15" s="21">
        <f t="shared" si="1"/>
        <v>69403888106.041656</v>
      </c>
      <c r="I15" s="21">
        <f t="shared" si="1"/>
        <v>73500845678.058746</v>
      </c>
      <c r="J15" s="21">
        <f t="shared" si="1"/>
        <v>66464724321.548355</v>
      </c>
      <c r="K15" s="21">
        <f t="shared" si="1"/>
        <v>61331295981.930794</v>
      </c>
      <c r="L15" s="21">
        <f t="shared" si="1"/>
        <v>58716726218.367859</v>
      </c>
    </row>
    <row r="16" spans="1:12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4">
      <c r="A17" s="20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4">
      <c r="A18" s="7" t="s">
        <v>8</v>
      </c>
      <c r="B18" s="5">
        <f>+'DATOS GENERALES'!C71</f>
        <v>500000000</v>
      </c>
      <c r="C18" s="2"/>
      <c r="D18" s="8"/>
      <c r="E18" s="2"/>
      <c r="F18" s="2"/>
      <c r="G18" s="2"/>
      <c r="H18" s="2"/>
      <c r="I18" s="2"/>
      <c r="J18" s="2"/>
      <c r="K18" s="2"/>
      <c r="L18" s="2"/>
      <c r="M18" s="3"/>
      <c r="N18" s="3"/>
    </row>
    <row r="19" spans="1:14">
      <c r="A19" s="7" t="s">
        <v>9</v>
      </c>
      <c r="B19" s="5">
        <f>'DATOS GENERALES'!K70</f>
        <v>278781502.13333338</v>
      </c>
      <c r="C19" s="2"/>
      <c r="D19" s="2"/>
      <c r="E19" s="2"/>
      <c r="F19" s="5">
        <f>'DATOS GENERALES'!H112</f>
        <v>1305665406.5000005</v>
      </c>
      <c r="G19" s="2"/>
      <c r="H19" s="2"/>
      <c r="I19" s="2"/>
      <c r="J19" s="2"/>
      <c r="K19" s="2"/>
      <c r="L19" s="2"/>
      <c r="M19" s="3"/>
    </row>
    <row r="20" spans="1:14">
      <c r="A20" s="7" t="s">
        <v>10</v>
      </c>
      <c r="B20" s="5">
        <f>+'DATOS GENERALES'!$B$55/4</f>
        <v>3360000000</v>
      </c>
      <c r="C20" s="5">
        <f>+'DATOS GENERALES'!$B$55/4</f>
        <v>3360000000</v>
      </c>
      <c r="D20" s="5">
        <f>+'DATOS GENERALES'!$B$55/4</f>
        <v>3360000000</v>
      </c>
      <c r="E20" s="5">
        <f>+'DATOS GENERALES'!$B$55/4</f>
        <v>3360000000</v>
      </c>
      <c r="F20" s="2"/>
      <c r="G20" s="2"/>
      <c r="H20" s="2"/>
      <c r="I20" s="2"/>
      <c r="J20" s="2"/>
      <c r="K20" s="2"/>
      <c r="L20" s="2"/>
      <c r="M20" s="3"/>
    </row>
    <row r="21" spans="1:14">
      <c r="A21" s="10" t="s">
        <v>234</v>
      </c>
      <c r="B21" s="5">
        <f>+'DATOS GENERALES'!B30*'DATOS GENERALES'!$H$12</f>
        <v>0</v>
      </c>
      <c r="C21" s="5">
        <f>+'DATOS GENERALES'!C30*'DATOS GENERALES'!$H$12</f>
        <v>1600000000</v>
      </c>
      <c r="D21" s="5">
        <f>+'DATOS GENERALES'!D30*'DATOS GENERALES'!$H$12</f>
        <v>3200000000</v>
      </c>
      <c r="E21" s="5">
        <f>+'DATOS GENERALES'!E30*'DATOS GENERALES'!$H$12</f>
        <v>4800000000</v>
      </c>
      <c r="F21" s="5">
        <f>+'DATOS GENERALES'!F30*'DATOS GENERALES'!$H$12</f>
        <v>6400000000</v>
      </c>
      <c r="G21" s="5">
        <f>+'DATOS GENERALES'!G30*'DATOS GENERALES'!$H$12</f>
        <v>8000000000</v>
      </c>
      <c r="H21" s="5">
        <f>+'DATOS GENERALES'!H30*'DATOS GENERALES'!$H$12</f>
        <v>6400000000</v>
      </c>
      <c r="I21" s="5">
        <f>+'DATOS GENERALES'!I30*'DATOS GENERALES'!$H$12</f>
        <v>4800000000</v>
      </c>
      <c r="J21" s="5">
        <f>+'DATOS GENERALES'!J30*'DATOS GENERALES'!$H$12</f>
        <v>3200000000</v>
      </c>
      <c r="K21" s="5">
        <f>+'DATOS GENERALES'!K30*'DATOS GENERALES'!$H$12</f>
        <v>1600000000</v>
      </c>
      <c r="L21" s="5">
        <f>+'DATOS GENERALES'!L30*'DATOS GENERALES'!$H$12</f>
        <v>0</v>
      </c>
      <c r="M21" s="3"/>
    </row>
    <row r="22" spans="1:14">
      <c r="A22" s="10" t="s">
        <v>235</v>
      </c>
      <c r="B22" s="5">
        <f>+'DATOS GENERALES'!B31*'DATOS GENERALES'!$H$13</f>
        <v>0</v>
      </c>
      <c r="C22" s="5">
        <f>+'DATOS GENERALES'!C31*'DATOS GENERALES'!$H$13</f>
        <v>3456000000</v>
      </c>
      <c r="D22" s="5">
        <f>+'DATOS GENERALES'!D31*'DATOS GENERALES'!$H$13</f>
        <v>4608000000</v>
      </c>
      <c r="E22" s="5">
        <f>+'DATOS GENERALES'!E31*'DATOS GENERALES'!$H$13</f>
        <v>5760000000</v>
      </c>
      <c r="F22" s="5">
        <f>+'DATOS GENERALES'!F31*'DATOS GENERALES'!$H$13</f>
        <v>6912000000</v>
      </c>
      <c r="G22" s="5">
        <f>+'DATOS GENERALES'!G31*'DATOS GENERALES'!$H$13</f>
        <v>8064000000</v>
      </c>
      <c r="H22" s="5">
        <f>+'DATOS GENERALES'!H31*'DATOS GENERALES'!$H$13</f>
        <v>8064000000</v>
      </c>
      <c r="I22" s="5">
        <f>+'DATOS GENERALES'!I31*'DATOS GENERALES'!$H$13</f>
        <v>6912000000</v>
      </c>
      <c r="J22" s="5">
        <f>+'DATOS GENERALES'!J31*'DATOS GENERALES'!$H$13</f>
        <v>5760000000</v>
      </c>
      <c r="K22" s="5">
        <f>+'DATOS GENERALES'!K31*'DATOS GENERALES'!$H$13</f>
        <v>4608000000</v>
      </c>
      <c r="L22" s="5">
        <f>+'DATOS GENERALES'!L31*'DATOS GENERALES'!$H$13</f>
        <v>3456000000</v>
      </c>
      <c r="M22" s="3"/>
    </row>
    <row r="23" spans="1:14">
      <c r="A23" s="10" t="s">
        <v>236</v>
      </c>
      <c r="B23" s="5">
        <f>+'DATOS GENERALES'!B32*'DATOS GENERALES'!$H$14</f>
        <v>0</v>
      </c>
      <c r="C23" s="5">
        <f>+'DATOS GENERALES'!C32*'DATOS GENERALES'!$H$14</f>
        <v>3456000000</v>
      </c>
      <c r="D23" s="5">
        <f>+'DATOS GENERALES'!D32*'DATOS GENERALES'!$H$14</f>
        <v>4608000000</v>
      </c>
      <c r="E23" s="5">
        <f>+'DATOS GENERALES'!E32*'DATOS GENERALES'!$H$14</f>
        <v>5760000000</v>
      </c>
      <c r="F23" s="5">
        <f>+'DATOS GENERALES'!F32*'DATOS GENERALES'!$H$14</f>
        <v>6912000000</v>
      </c>
      <c r="G23" s="5">
        <f>+'DATOS GENERALES'!G32*'DATOS GENERALES'!$H$14</f>
        <v>8064000000</v>
      </c>
      <c r="H23" s="5">
        <f>+'DATOS GENERALES'!H32*'DATOS GENERALES'!$H$14</f>
        <v>8064000000</v>
      </c>
      <c r="I23" s="5">
        <f>+'DATOS GENERALES'!I32*'DATOS GENERALES'!$H$14</f>
        <v>6912000000</v>
      </c>
      <c r="J23" s="5">
        <f>+'DATOS GENERALES'!J32*'DATOS GENERALES'!$H$14</f>
        <v>5760000000</v>
      </c>
      <c r="K23" s="5">
        <f>+'DATOS GENERALES'!K32*'DATOS GENERALES'!$H$14</f>
        <v>4608000000</v>
      </c>
      <c r="L23" s="5">
        <f>+'DATOS GENERALES'!L32*'DATOS GENERALES'!$H$14</f>
        <v>3456000000</v>
      </c>
      <c r="M23" s="3"/>
    </row>
    <row r="24" spans="1:14">
      <c r="A24" s="29" t="s">
        <v>245</v>
      </c>
      <c r="B24" s="5"/>
      <c r="C24" s="5"/>
      <c r="D24" s="5"/>
      <c r="E24" s="5"/>
      <c r="F24" s="5"/>
      <c r="G24" s="5"/>
      <c r="H24" s="5">
        <f>SUM('ESTRUCTURA FINANCIERA'!D96:D97)/3</f>
        <v>5985000000</v>
      </c>
      <c r="I24" s="5">
        <f>H24</f>
        <v>5985000000</v>
      </c>
      <c r="J24" s="5">
        <f>I24</f>
        <v>5985000000</v>
      </c>
      <c r="K24" s="5"/>
      <c r="L24" s="5"/>
      <c r="M24" s="3"/>
    </row>
    <row r="25" spans="1:14">
      <c r="A25" s="7" t="s">
        <v>11</v>
      </c>
      <c r="B25" s="13">
        <f>+'DATOS GENERALES'!B64</f>
        <v>1118000000</v>
      </c>
      <c r="C25" s="5">
        <f>+B25*(1-'DATOS GENERALES'!$B$65)</f>
        <v>1006200000</v>
      </c>
      <c r="D25" s="5">
        <f>+C25*(1-'DATOS GENERALES'!$B$65)</f>
        <v>905580000</v>
      </c>
      <c r="E25" s="5">
        <f>+D25*(1-'DATOS GENERALES'!$B$65)</f>
        <v>815022000</v>
      </c>
      <c r="F25" s="5">
        <f>+E25*(1-'DATOS GENERALES'!$B$65)</f>
        <v>733519800</v>
      </c>
      <c r="G25" s="5">
        <f>+F25*(1-'DATOS GENERALES'!$B$65)</f>
        <v>660167820</v>
      </c>
      <c r="H25" s="5">
        <f>+G25*(1-'DATOS GENERALES'!$B$65)</f>
        <v>594151038</v>
      </c>
      <c r="I25" s="5">
        <f>+H25*(1-'DATOS GENERALES'!$B$65)</f>
        <v>534735934.19999999</v>
      </c>
      <c r="J25" s="5">
        <f>+I25*(1-'DATOS GENERALES'!$B$65)</f>
        <v>481262340.77999997</v>
      </c>
      <c r="K25" s="5">
        <f>+J25*(1-'DATOS GENERALES'!$B$65)</f>
        <v>433136106.70199996</v>
      </c>
      <c r="L25" s="5">
        <f>+K25*(1-'DATOS GENERALES'!$B$65)</f>
        <v>389822496.03179997</v>
      </c>
      <c r="M25" s="3"/>
    </row>
    <row r="26" spans="1:14">
      <c r="A26" s="7" t="s">
        <v>19</v>
      </c>
      <c r="B26" s="5"/>
      <c r="C26" s="5">
        <f>+'DATOS GENERALES'!B78</f>
        <v>120000000</v>
      </c>
      <c r="D26" s="5">
        <f>+C26*(1+'DATOS GENERALES'!$B$79)</f>
        <v>126000000</v>
      </c>
      <c r="E26" s="5">
        <f>+D26*(1+'DATOS GENERALES'!$B$79)</f>
        <v>132300000</v>
      </c>
      <c r="F26" s="5">
        <f>+E26*(1+'DATOS GENERALES'!$B$79)</f>
        <v>138915000</v>
      </c>
      <c r="G26" s="5">
        <f>+F26*(1+'DATOS GENERALES'!$B$79)</f>
        <v>145860750</v>
      </c>
      <c r="H26" s="5">
        <f>+G26*(1+'DATOS GENERALES'!$B$79)</f>
        <v>153153787.5</v>
      </c>
      <c r="I26" s="5">
        <f>+H26*(1+'DATOS GENERALES'!$B$79)</f>
        <v>160811476.875</v>
      </c>
      <c r="J26" s="5">
        <f>+I26*(1+'DATOS GENERALES'!$B$79)</f>
        <v>168852050.71875</v>
      </c>
      <c r="K26" s="5">
        <f>+J26*(1+'DATOS GENERALES'!$B$79)</f>
        <v>177294653.25468752</v>
      </c>
      <c r="L26" s="5">
        <f>+K26*(1+'DATOS GENERALES'!$B$79)</f>
        <v>186159385.91742191</v>
      </c>
      <c r="M26" s="3"/>
    </row>
    <row r="27" spans="1:14">
      <c r="A27" s="7" t="s">
        <v>12</v>
      </c>
      <c r="B27" s="5">
        <f>'DATOS GENERALES'!E49</f>
        <v>408700000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4">
      <c r="A28" s="7" t="s">
        <v>13</v>
      </c>
      <c r="B28" s="5">
        <f>+'DATOS GENERALES'!I51</f>
        <v>225600000</v>
      </c>
      <c r="C28" s="8">
        <f>+B28*(1+'DATOS GENERALES'!$I$52)</f>
        <v>236880000</v>
      </c>
      <c r="D28" s="8">
        <f>+C28*(1+'DATOS GENERALES'!$I$52)</f>
        <v>248724000</v>
      </c>
      <c r="E28" s="8">
        <f>+D28*(1+'DATOS GENERALES'!$I$52)</f>
        <v>261160200</v>
      </c>
      <c r="F28" s="8">
        <f>+E28*(1+'DATOS GENERALES'!$I$52)</f>
        <v>274218210</v>
      </c>
      <c r="G28" s="8">
        <f>+F28*(1+'DATOS GENERALES'!$I$52)</f>
        <v>287929120.5</v>
      </c>
      <c r="H28" s="8">
        <f>+G28*(1+'DATOS GENERALES'!$I$52)</f>
        <v>302325576.52500004</v>
      </c>
      <c r="I28" s="8">
        <f>+H28*(1+'DATOS GENERALES'!$I$52)</f>
        <v>317441855.35125005</v>
      </c>
      <c r="J28" s="8">
        <f>+I28*(1+'DATOS GENERALES'!$I$52)</f>
        <v>333313948.11881256</v>
      </c>
      <c r="K28" s="8">
        <f>+J28*(1+'DATOS GENERALES'!$I$52)</f>
        <v>349979645.52475321</v>
      </c>
      <c r="L28" s="8">
        <f>+K28*(1+'DATOS GENERALES'!$I$52)</f>
        <v>367478627.80099088</v>
      </c>
      <c r="M28" s="3"/>
      <c r="N28" s="3"/>
    </row>
    <row r="29" spans="1:14">
      <c r="A29" s="7" t="s">
        <v>14</v>
      </c>
      <c r="B29" s="5">
        <f>+'ESTADO DE RESULTADOS'!B22</f>
        <v>0</v>
      </c>
      <c r="C29" s="5">
        <f>+'ESTADO DE RESULTADOS'!C22</f>
        <v>874881000</v>
      </c>
      <c r="D29" s="5">
        <f>+'ESTADO DE RESULTADOS'!D22</f>
        <v>1518123600</v>
      </c>
      <c r="E29" s="5">
        <f>+'ESTADO DE RESULTADOS'!E22</f>
        <v>2157532230</v>
      </c>
      <c r="F29" s="5">
        <f>+'ESTADO DE RESULTADOS'!F22</f>
        <v>2793443446.5</v>
      </c>
      <c r="G29" s="5">
        <f>+'ESTADO DE RESULTADOS'!G22</f>
        <v>6758741141.6583319</v>
      </c>
      <c r="H29" s="5">
        <f>+'ESTADO DE RESULTADOS'!H22</f>
        <v>4434078692.6245823</v>
      </c>
      <c r="I29" s="5">
        <f>+'ESTADO DE RESULTADOS'!I22</f>
        <v>3832632090.0841446</v>
      </c>
      <c r="J29" s="5">
        <f>+'ESTADO DE RESULTADOS'!J22</f>
        <v>0</v>
      </c>
      <c r="K29" s="5">
        <f>+'ESTADO DE RESULTADOS'!K22</f>
        <v>1384659358.0814958</v>
      </c>
      <c r="L29" s="5">
        <f>+'ESTADO DE RESULTADOS'!L22</f>
        <v>776320821.58742547</v>
      </c>
      <c r="M29" s="3"/>
    </row>
    <row r="30" spans="1:14">
      <c r="A30" s="7" t="s">
        <v>251</v>
      </c>
      <c r="B30" s="5">
        <f>+('DATOS GENERALES'!$B$80*B9)+('DATOS GENERALES'!$B$80*B10)+('DATOS GENERALES'!$B$80*B11)</f>
        <v>0</v>
      </c>
      <c r="C30" s="5">
        <f>+('DATOS GENERALES'!$B$80*C9)+('DATOS GENERALES'!$B$80*C10)+('DATOS GENERALES'!$B$80*C11)</f>
        <v>199500000</v>
      </c>
      <c r="D30" s="5">
        <f>+('DATOS GENERALES'!$B$80*D9)+('DATOS GENERALES'!$B$80*D10)+('DATOS GENERALES'!$B$80*D11)</f>
        <v>291000000</v>
      </c>
      <c r="E30" s="5">
        <f>+('DATOS GENERALES'!$B$80*E9)+('DATOS GENERALES'!$B$80*E10)+('DATOS GENERALES'!$B$80*E11)</f>
        <v>382500000</v>
      </c>
      <c r="F30" s="5">
        <f>+('DATOS GENERALES'!$B$80*F9)+('DATOS GENERALES'!$B$80*F10)+('DATOS GENERALES'!$B$80*F11)</f>
        <v>474000000</v>
      </c>
      <c r="G30" s="5">
        <f>+('DATOS GENERALES'!$B$80*G9)+('DATOS GENERALES'!$B$80*G10)+('DATOS GENERALES'!$B$80*G11)</f>
        <v>565500000</v>
      </c>
      <c r="H30" s="5">
        <f>+('DATOS GENERALES'!$B$80*H9)+('DATOS GENERALES'!$B$80*H10)+('DATOS GENERALES'!$B$80*H11)</f>
        <v>528000000</v>
      </c>
      <c r="I30" s="5">
        <f>+('DATOS GENERALES'!$B$80*I9)+('DATOS GENERALES'!$B$80*I10)+('DATOS GENERALES'!$B$80*I11)</f>
        <v>436500000</v>
      </c>
      <c r="J30" s="5">
        <f>+('DATOS GENERALES'!$B$80*J9)+('DATOS GENERALES'!$B$80*J10)+('DATOS GENERALES'!$B$80*J11)</f>
        <v>345000000</v>
      </c>
      <c r="K30" s="5">
        <f>+('DATOS GENERALES'!$B$80*K9)+('DATOS GENERALES'!$B$80*K10)+('DATOS GENERALES'!$B$80*K11)</f>
        <v>253500000</v>
      </c>
      <c r="L30" s="5">
        <f>+('DATOS GENERALES'!$B$80*L9)+('DATOS GENERALES'!$B$80*L10)+('DATOS GENERALES'!$B$80*L11)</f>
        <v>162000000</v>
      </c>
      <c r="M30" s="3"/>
    </row>
    <row r="31" spans="1:14">
      <c r="A31" s="7" t="s">
        <v>252</v>
      </c>
      <c r="B31" s="2"/>
      <c r="C31" s="2"/>
      <c r="D31" s="2"/>
      <c r="E31" s="2"/>
      <c r="F31" s="2"/>
      <c r="G31" s="5">
        <f>'DATOS GENERALES'!$B$80*'FLUJO DE TESORERÍA '!G12</f>
        <v>145000000</v>
      </c>
      <c r="H31" s="5">
        <f>'DATOS GENERALES'!$B$80*'FLUJO DE TESORERÍA '!H12</f>
        <v>145000000</v>
      </c>
      <c r="I31" s="5">
        <f>'DATOS GENERALES'!$B$80*'FLUJO DE TESORERÍA '!I12</f>
        <v>145000000</v>
      </c>
      <c r="J31" s="2"/>
      <c r="K31" s="2"/>
      <c r="L31" s="2"/>
      <c r="M31" s="3"/>
      <c r="N31" s="3"/>
    </row>
    <row r="32" spans="1:14">
      <c r="A32" s="20" t="s">
        <v>15</v>
      </c>
      <c r="B32" s="21">
        <f>SUM(B18:B31)</f>
        <v>5891081502.1333332</v>
      </c>
      <c r="C32" s="21">
        <f t="shared" ref="C32:L32" si="2">SUM(C18:C31)</f>
        <v>14309461000</v>
      </c>
      <c r="D32" s="21">
        <f t="shared" si="2"/>
        <v>18865427600</v>
      </c>
      <c r="E32" s="21">
        <f t="shared" si="2"/>
        <v>23428514430</v>
      </c>
      <c r="F32" s="21">
        <f t="shared" si="2"/>
        <v>25943761863</v>
      </c>
      <c r="G32" s="21">
        <f t="shared" si="2"/>
        <v>32691198832.158333</v>
      </c>
      <c r="H32" s="21">
        <f t="shared" si="2"/>
        <v>34669709094.649582</v>
      </c>
      <c r="I32" s="21">
        <f t="shared" si="2"/>
        <v>30036121356.510395</v>
      </c>
      <c r="J32" s="21">
        <f t="shared" si="2"/>
        <v>22033428339.617561</v>
      </c>
      <c r="K32" s="21">
        <f t="shared" si="2"/>
        <v>13414569763.562937</v>
      </c>
      <c r="L32" s="21">
        <f t="shared" si="2"/>
        <v>8793781331.3376389</v>
      </c>
      <c r="M32" s="3"/>
      <c r="N32" s="3"/>
    </row>
    <row r="33" spans="1:14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</row>
    <row r="34" spans="1:14">
      <c r="A34" s="20" t="s">
        <v>16</v>
      </c>
      <c r="B34" s="21">
        <f t="shared" ref="B34:L34" si="3">B15-B32</f>
        <v>108918497.86666679</v>
      </c>
      <c r="C34" s="21">
        <f t="shared" si="3"/>
        <v>1099457497.8666668</v>
      </c>
      <c r="D34" s="21">
        <f t="shared" si="3"/>
        <v>2134029897.8666687</v>
      </c>
      <c r="E34" s="21">
        <f t="shared" si="3"/>
        <v>4205515467.8666687</v>
      </c>
      <c r="F34" s="21">
        <f t="shared" si="3"/>
        <v>9861753604.8666687</v>
      </c>
      <c r="G34" s="21">
        <f t="shared" si="3"/>
        <v>24537221439.375</v>
      </c>
      <c r="H34" s="21">
        <f t="shared" si="3"/>
        <v>34734179011.392075</v>
      </c>
      <c r="I34" s="21">
        <f t="shared" si="3"/>
        <v>43464724321.548355</v>
      </c>
      <c r="J34" s="21">
        <f t="shared" si="3"/>
        <v>44431295981.930794</v>
      </c>
      <c r="K34" s="21">
        <f t="shared" si="3"/>
        <v>47916726218.367859</v>
      </c>
      <c r="L34" s="21">
        <f t="shared" si="3"/>
        <v>49922944887.03022</v>
      </c>
      <c r="M34" s="3"/>
    </row>
    <row r="36" spans="1:14">
      <c r="B36" s="3"/>
      <c r="C36" s="3"/>
    </row>
    <row r="37" spans="1:14">
      <c r="B37" s="3"/>
    </row>
    <row r="38" spans="1:14">
      <c r="B38" s="14"/>
      <c r="N38" s="123"/>
    </row>
  </sheetData>
  <mergeCells count="2">
    <mergeCell ref="A2:L2"/>
    <mergeCell ref="A1:L1"/>
  </mergeCells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opLeftCell="A17" zoomScaleNormal="100" workbookViewId="0">
      <selection activeCell="B41" sqref="B41"/>
    </sheetView>
  </sheetViews>
  <sheetFormatPr baseColWidth="10" defaultRowHeight="15"/>
  <cols>
    <col min="1" max="1" width="51" customWidth="1"/>
    <col min="2" max="2" width="17.85546875" customWidth="1"/>
    <col min="3" max="3" width="17.140625" customWidth="1"/>
    <col min="4" max="4" width="17.5703125" customWidth="1"/>
    <col min="5" max="5" width="17.85546875" customWidth="1"/>
    <col min="6" max="6" width="19.85546875" bestFit="1" customWidth="1"/>
    <col min="7" max="9" width="19.140625" bestFit="1" customWidth="1"/>
    <col min="10" max="10" width="18.42578125" bestFit="1" customWidth="1"/>
    <col min="11" max="11" width="18.28515625" bestFit="1" customWidth="1"/>
    <col min="12" max="12" width="18.5703125" bestFit="1" customWidth="1"/>
  </cols>
  <sheetData>
    <row r="1" spans="1:12" ht="20.25" customHeight="1">
      <c r="A1" s="178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1.75" customHeight="1">
      <c r="A2" s="177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>
      <c r="A3" s="2" t="s">
        <v>75</v>
      </c>
      <c r="B3" s="2" t="str">
        <f>+'FLUJO DE TESORERÍA '!B3</f>
        <v>AÑO 0</v>
      </c>
      <c r="C3" s="2" t="str">
        <f>+'FLUJO DE TESORERÍA '!C3</f>
        <v>AÑO 1</v>
      </c>
      <c r="D3" s="2" t="str">
        <f>+'FLUJO DE TESORERÍA '!D3</f>
        <v>AÑO 2</v>
      </c>
      <c r="E3" s="2" t="str">
        <f>+'FLUJO DE TESORERÍA '!E3</f>
        <v>AÑO 3</v>
      </c>
      <c r="F3" s="2" t="str">
        <f>+'FLUJO DE TESORERÍA '!F3</f>
        <v>AÑO 4</v>
      </c>
      <c r="G3" s="2" t="str">
        <f>+'FLUJO DE TESORERÍA '!G3</f>
        <v>AÑO 5</v>
      </c>
      <c r="H3" s="2" t="str">
        <f>+'FLUJO DE TESORERÍA '!H3</f>
        <v>AÑO 6</v>
      </c>
      <c r="I3" s="2" t="str">
        <f>+'FLUJO DE TESORERÍA '!I3</f>
        <v>AÑO 7</v>
      </c>
      <c r="J3" s="2" t="str">
        <f>+'FLUJO DE TESORERÍA '!J3</f>
        <v>AÑO 8</v>
      </c>
      <c r="K3" s="2" t="str">
        <f>+'FLUJO DE TESORERÍA '!K3</f>
        <v>AÑO 9</v>
      </c>
      <c r="L3" s="2" t="str">
        <f>+'FLUJO DE TESORERÍA '!L3</f>
        <v>AÑO 10</v>
      </c>
    </row>
    <row r="4" spans="1:12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0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>
      <c r="A6" s="88" t="str">
        <f>'FLUJO DE TESORERÍA '!A9</f>
        <v>VENTA DE CASAS TIPO I</v>
      </c>
      <c r="B6" s="88">
        <f>'FLUJO DE TESORERÍA '!B9</f>
        <v>0</v>
      </c>
      <c r="C6" s="88">
        <f>'FLUJO DE TESORERÍA '!C9</f>
        <v>2500000000</v>
      </c>
      <c r="D6" s="88">
        <f>'FLUJO DE TESORERÍA '!D9</f>
        <v>5000000000</v>
      </c>
      <c r="E6" s="88">
        <f>'FLUJO DE TESORERÍA '!E9</f>
        <v>7500000000</v>
      </c>
      <c r="F6" s="88">
        <f>'FLUJO DE TESORERÍA '!F9</f>
        <v>10000000000</v>
      </c>
      <c r="G6" s="88">
        <f>'FLUJO DE TESORERÍA '!G9</f>
        <v>12500000000</v>
      </c>
      <c r="H6" s="88">
        <f>'FLUJO DE TESORERÍA '!H9</f>
        <v>10000000000</v>
      </c>
      <c r="I6" s="88">
        <f>'FLUJO DE TESORERÍA '!I9</f>
        <v>7500000000</v>
      </c>
      <c r="J6" s="88">
        <f>'FLUJO DE TESORERÍA '!J9</f>
        <v>5000000000</v>
      </c>
      <c r="K6" s="88">
        <f>'FLUJO DE TESORERÍA '!K9</f>
        <v>2500000000</v>
      </c>
      <c r="L6" s="88">
        <f>'FLUJO DE TESORERÍA '!L9</f>
        <v>0</v>
      </c>
    </row>
    <row r="7" spans="1:12">
      <c r="A7" s="88" t="str">
        <f>'FLUJO DE TESORERÍA '!A10</f>
        <v>VENTA DE CASAS TIPO II</v>
      </c>
      <c r="B7" s="88">
        <f>'FLUJO DE TESORERÍA '!B10</f>
        <v>0</v>
      </c>
      <c r="C7" s="88">
        <f>'FLUJO DE TESORERÍA '!C10</f>
        <v>5400000000</v>
      </c>
      <c r="D7" s="88">
        <f>'FLUJO DE TESORERÍA '!D10</f>
        <v>7200000000</v>
      </c>
      <c r="E7" s="88">
        <f>'FLUJO DE TESORERÍA '!E10</f>
        <v>9000000000</v>
      </c>
      <c r="F7" s="88">
        <f>'FLUJO DE TESORERÍA '!F10</f>
        <v>10800000000</v>
      </c>
      <c r="G7" s="88">
        <f>'FLUJO DE TESORERÍA '!G10</f>
        <v>12600000000</v>
      </c>
      <c r="H7" s="88">
        <f>'FLUJO DE TESORERÍA '!H10</f>
        <v>12600000000</v>
      </c>
      <c r="I7" s="88">
        <f>'FLUJO DE TESORERÍA '!I10</f>
        <v>10800000000</v>
      </c>
      <c r="J7" s="88">
        <f>'FLUJO DE TESORERÍA '!J10</f>
        <v>9000000000</v>
      </c>
      <c r="K7" s="88">
        <f>'FLUJO DE TESORERÍA '!K10</f>
        <v>7200000000</v>
      </c>
      <c r="L7" s="88">
        <f>'FLUJO DE TESORERÍA '!L10</f>
        <v>5400000000</v>
      </c>
    </row>
    <row r="8" spans="1:12">
      <c r="A8" s="88" t="str">
        <f>'FLUJO DE TESORERÍA '!A11</f>
        <v>VENTA DE CASAS TIPO III</v>
      </c>
      <c r="B8" s="88">
        <f>'FLUJO DE TESORERÍA '!B11</f>
        <v>0</v>
      </c>
      <c r="C8" s="88">
        <f>'FLUJO DE TESORERÍA '!C11</f>
        <v>5400000000</v>
      </c>
      <c r="D8" s="88">
        <f>'FLUJO DE TESORERÍA '!D11</f>
        <v>7200000000</v>
      </c>
      <c r="E8" s="88">
        <f>'FLUJO DE TESORERÍA '!E11</f>
        <v>9000000000</v>
      </c>
      <c r="F8" s="88">
        <f>'FLUJO DE TESORERÍA '!F11</f>
        <v>10800000000</v>
      </c>
      <c r="G8" s="88">
        <f>'FLUJO DE TESORERÍA '!G11</f>
        <v>12600000000</v>
      </c>
      <c r="H8" s="88">
        <f>'FLUJO DE TESORERÍA '!H11</f>
        <v>12600000000</v>
      </c>
      <c r="I8" s="88">
        <f>'FLUJO DE TESORERÍA '!I11</f>
        <v>10800000000</v>
      </c>
      <c r="J8" s="88">
        <f>'FLUJO DE TESORERÍA '!J11</f>
        <v>9000000000</v>
      </c>
      <c r="K8" s="88">
        <f>'FLUJO DE TESORERÍA '!K11</f>
        <v>7200000000</v>
      </c>
      <c r="L8" s="88">
        <f>'FLUJO DE TESORERÍA '!L11</f>
        <v>5400000000</v>
      </c>
    </row>
    <row r="9" spans="1:12">
      <c r="A9" s="88" t="str">
        <f>'FLUJO DE TESORERÍA '!A12</f>
        <v xml:space="preserve">VENTA HOTEL </v>
      </c>
      <c r="B9" s="88">
        <f>'FLUJO DE TESORERÍA '!B12</f>
        <v>0</v>
      </c>
      <c r="C9" s="88">
        <f>'FLUJO DE TESORERÍA '!C12</f>
        <v>0</v>
      </c>
      <c r="D9" s="88">
        <f>'FLUJO DE TESORERÍA '!D12</f>
        <v>0</v>
      </c>
      <c r="E9" s="88">
        <f>'FLUJO DE TESORERÍA '!E12</f>
        <v>0</v>
      </c>
      <c r="F9" s="88">
        <f>'FLUJO DE TESORERÍA '!F12</f>
        <v>0</v>
      </c>
      <c r="G9" s="88">
        <f>'FLUJO DE TESORERÍA '!G12</f>
        <v>9666666666.666666</v>
      </c>
      <c r="H9" s="88">
        <f>'FLUJO DE TESORERÍA '!H12</f>
        <v>9666666666.666666</v>
      </c>
      <c r="I9" s="88">
        <f>'FLUJO DE TESORERÍA '!I12</f>
        <v>9666666666.666666</v>
      </c>
      <c r="J9" s="88">
        <f>'FLUJO DE TESORERÍA '!J12</f>
        <v>0</v>
      </c>
      <c r="K9" s="88">
        <f>'FLUJO DE TESORERÍA '!K12</f>
        <v>0</v>
      </c>
      <c r="L9" s="88">
        <f>'FLUJO DE TESORERÍA '!L12</f>
        <v>0</v>
      </c>
    </row>
    <row r="10" spans="1:1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20" t="s">
        <v>6</v>
      </c>
      <c r="B11" s="21">
        <f>+SUM(B6:B10)</f>
        <v>0</v>
      </c>
      <c r="C11" s="21">
        <f t="shared" ref="C11:L11" si="0">+SUM(C6:C10)</f>
        <v>13300000000</v>
      </c>
      <c r="D11" s="21">
        <f t="shared" si="0"/>
        <v>19400000000</v>
      </c>
      <c r="E11" s="21">
        <f t="shared" si="0"/>
        <v>25500000000</v>
      </c>
      <c r="F11" s="21">
        <f t="shared" si="0"/>
        <v>31600000000</v>
      </c>
      <c r="G11" s="21">
        <f t="shared" si="0"/>
        <v>47366666666.666664</v>
      </c>
      <c r="H11" s="21">
        <f t="shared" si="0"/>
        <v>44866666666.666664</v>
      </c>
      <c r="I11" s="21">
        <f t="shared" si="0"/>
        <v>38766666666.666664</v>
      </c>
      <c r="J11" s="21">
        <f t="shared" si="0"/>
        <v>23000000000</v>
      </c>
      <c r="K11" s="21">
        <f t="shared" si="0"/>
        <v>16900000000</v>
      </c>
      <c r="L11" s="21">
        <f t="shared" si="0"/>
        <v>10800000000</v>
      </c>
    </row>
    <row r="12" spans="1:12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0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7" t="str">
        <f>'FLUJO DE TESORERÍA '!A21</f>
        <v>CONSTRUCCIÓN CASAS TIPO I CON URBANISMO</v>
      </c>
      <c r="B15" s="88">
        <f>'FLUJO DE TESORERÍA '!B21</f>
        <v>0</v>
      </c>
      <c r="C15" s="88">
        <f>'FLUJO DE TESORERÍA '!C21</f>
        <v>1600000000</v>
      </c>
      <c r="D15" s="88">
        <f>'FLUJO DE TESORERÍA '!D21</f>
        <v>3200000000</v>
      </c>
      <c r="E15" s="88">
        <f>'FLUJO DE TESORERÍA '!E21</f>
        <v>4800000000</v>
      </c>
      <c r="F15" s="88">
        <f>'FLUJO DE TESORERÍA '!F21</f>
        <v>6400000000</v>
      </c>
      <c r="G15" s="88">
        <f>'FLUJO DE TESORERÍA '!G21</f>
        <v>8000000000</v>
      </c>
      <c r="H15" s="88">
        <f>'FLUJO DE TESORERÍA '!H21</f>
        <v>6400000000</v>
      </c>
      <c r="I15" s="88">
        <f>'FLUJO DE TESORERÍA '!I21</f>
        <v>4800000000</v>
      </c>
      <c r="J15" s="88">
        <f>'FLUJO DE TESORERÍA '!J21</f>
        <v>3200000000</v>
      </c>
      <c r="K15" s="88">
        <f>'FLUJO DE TESORERÍA '!K21</f>
        <v>1600000000</v>
      </c>
      <c r="L15" s="88">
        <f>'FLUJO DE TESORERÍA '!L21</f>
        <v>0</v>
      </c>
    </row>
    <row r="16" spans="1:12">
      <c r="A16" s="7" t="str">
        <f>'FLUJO DE TESORERÍA '!A22</f>
        <v>CONSTRUCCIÓN CASAS TIPO II CON URBANISMO</v>
      </c>
      <c r="B16" s="88">
        <f>'FLUJO DE TESORERÍA '!B22</f>
        <v>0</v>
      </c>
      <c r="C16" s="88">
        <f>'FLUJO DE TESORERÍA '!C22</f>
        <v>3456000000</v>
      </c>
      <c r="D16" s="88">
        <f>'FLUJO DE TESORERÍA '!D22</f>
        <v>4608000000</v>
      </c>
      <c r="E16" s="88">
        <f>'FLUJO DE TESORERÍA '!E22</f>
        <v>5760000000</v>
      </c>
      <c r="F16" s="88">
        <f>'FLUJO DE TESORERÍA '!F22</f>
        <v>6912000000</v>
      </c>
      <c r="G16" s="88">
        <f>'FLUJO DE TESORERÍA '!G22</f>
        <v>8064000000</v>
      </c>
      <c r="H16" s="88">
        <f>'FLUJO DE TESORERÍA '!H22</f>
        <v>8064000000</v>
      </c>
      <c r="I16" s="88">
        <f>'FLUJO DE TESORERÍA '!I22</f>
        <v>6912000000</v>
      </c>
      <c r="J16" s="88">
        <f>'FLUJO DE TESORERÍA '!J22</f>
        <v>5760000000</v>
      </c>
      <c r="K16" s="88">
        <f>'FLUJO DE TESORERÍA '!K22</f>
        <v>4608000000</v>
      </c>
      <c r="L16" s="88">
        <f>'FLUJO DE TESORERÍA '!L22</f>
        <v>3456000000</v>
      </c>
    </row>
    <row r="17" spans="1:12">
      <c r="A17" s="7" t="str">
        <f>'FLUJO DE TESORERÍA '!A23</f>
        <v>CONSTRUCCIÓN CASAS TIPO III CON URBANISMO</v>
      </c>
      <c r="B17" s="88">
        <f>'FLUJO DE TESORERÍA '!B23</f>
        <v>0</v>
      </c>
      <c r="C17" s="88">
        <f>'FLUJO DE TESORERÍA '!C23</f>
        <v>3456000000</v>
      </c>
      <c r="D17" s="88">
        <f>'FLUJO DE TESORERÍA '!D23</f>
        <v>4608000000</v>
      </c>
      <c r="E17" s="88">
        <f>'FLUJO DE TESORERÍA '!E23</f>
        <v>5760000000</v>
      </c>
      <c r="F17" s="88">
        <f>'FLUJO DE TESORERÍA '!F23</f>
        <v>6912000000</v>
      </c>
      <c r="G17" s="88">
        <f>'FLUJO DE TESORERÍA '!G23</f>
        <v>8064000000</v>
      </c>
      <c r="H17" s="88">
        <f>'FLUJO DE TESORERÍA '!H23</f>
        <v>8064000000</v>
      </c>
      <c r="I17" s="88">
        <f>'FLUJO DE TESORERÍA '!I23</f>
        <v>6912000000</v>
      </c>
      <c r="J17" s="88">
        <f>'FLUJO DE TESORERÍA '!J23</f>
        <v>5760000000</v>
      </c>
      <c r="K17" s="88">
        <f>'FLUJO DE TESORERÍA '!K23</f>
        <v>4608000000</v>
      </c>
      <c r="L17" s="88">
        <f>'FLUJO DE TESORERÍA '!L23</f>
        <v>3456000000</v>
      </c>
    </row>
    <row r="18" spans="1:12">
      <c r="A18" s="7" t="str">
        <f>'FLUJO DE TESORERÍA '!A24</f>
        <v>CONSTRUCCIÓN HOTEL CON URBANISMO</v>
      </c>
      <c r="B18" s="88">
        <f>'FLUJO DE TESORERÍA '!B24</f>
        <v>0</v>
      </c>
      <c r="C18" s="88">
        <f>'FLUJO DE TESORERÍA '!C24</f>
        <v>0</v>
      </c>
      <c r="D18" s="88">
        <f>'FLUJO DE TESORERÍA '!D24</f>
        <v>0</v>
      </c>
      <c r="E18" s="88">
        <f>'FLUJO DE TESORERÍA '!E24</f>
        <v>0</v>
      </c>
      <c r="F18" s="88">
        <f>'FLUJO DE TESORERÍA '!F24</f>
        <v>0</v>
      </c>
      <c r="G18" s="88">
        <f>'FLUJO DE TESORERÍA '!G24</f>
        <v>0</v>
      </c>
      <c r="H18" s="88">
        <f>'FLUJO DE TESORERÍA '!H24</f>
        <v>5985000000</v>
      </c>
      <c r="I18" s="88">
        <f>'FLUJO DE TESORERÍA '!I24</f>
        <v>5985000000</v>
      </c>
      <c r="J18" s="88">
        <f>'FLUJO DE TESORERÍA '!J24</f>
        <v>5985000000</v>
      </c>
      <c r="K18" s="88">
        <f>'FLUJO DE TESORERÍA '!K24</f>
        <v>0</v>
      </c>
      <c r="L18" s="88">
        <f>'FLUJO DE TESORERÍA '!L24</f>
        <v>0</v>
      </c>
    </row>
    <row r="19" spans="1:12">
      <c r="A19" s="7" t="str">
        <f>'FLUJO DE TESORERÍA '!A25</f>
        <v>MARKETING ESTRATEGICO</v>
      </c>
      <c r="B19" s="88">
        <f>'FLUJO DE TESORERÍA '!B25</f>
        <v>1118000000</v>
      </c>
      <c r="C19" s="88">
        <f>'FLUJO DE TESORERÍA '!C25</f>
        <v>1006200000</v>
      </c>
      <c r="D19" s="88">
        <f>'FLUJO DE TESORERÍA '!D25</f>
        <v>905580000</v>
      </c>
      <c r="E19" s="88">
        <f>'FLUJO DE TESORERÍA '!E25</f>
        <v>815022000</v>
      </c>
      <c r="F19" s="88">
        <f>'FLUJO DE TESORERÍA '!F25</f>
        <v>733519800</v>
      </c>
      <c r="G19" s="88">
        <f>'FLUJO DE TESORERÍA '!G25</f>
        <v>660167820</v>
      </c>
      <c r="H19" s="88">
        <f>'FLUJO DE TESORERÍA '!H25</f>
        <v>594151038</v>
      </c>
      <c r="I19" s="88">
        <f>'FLUJO DE TESORERÍA '!I25</f>
        <v>534735934.19999999</v>
      </c>
      <c r="J19" s="88">
        <f>'FLUJO DE TESORERÍA '!J25</f>
        <v>481262340.77999997</v>
      </c>
      <c r="K19" s="88">
        <f>'FLUJO DE TESORERÍA '!K25</f>
        <v>433136106.70199996</v>
      </c>
      <c r="L19" s="88">
        <f>'FLUJO DE TESORERÍA '!L25</f>
        <v>389822496.03179997</v>
      </c>
    </row>
    <row r="20" spans="1:12">
      <c r="A20" s="7" t="str">
        <f>'FLUJO DE TESORERÍA '!A26</f>
        <v>FUERZA DE VENTAS</v>
      </c>
      <c r="B20" s="88">
        <f>'FLUJO DE TESORERÍA '!B26</f>
        <v>0</v>
      </c>
      <c r="C20" s="88">
        <f>'FLUJO DE TESORERÍA '!C26</f>
        <v>120000000</v>
      </c>
      <c r="D20" s="88">
        <f>'FLUJO DE TESORERÍA '!D26</f>
        <v>126000000</v>
      </c>
      <c r="E20" s="88">
        <f>'FLUJO DE TESORERÍA '!E26</f>
        <v>132300000</v>
      </c>
      <c r="F20" s="88">
        <f>'FLUJO DE TESORERÍA '!F26</f>
        <v>138915000</v>
      </c>
      <c r="G20" s="88">
        <f>'FLUJO DE TESORERÍA '!G26</f>
        <v>145860750</v>
      </c>
      <c r="H20" s="88">
        <f>'FLUJO DE TESORERÍA '!H26</f>
        <v>153153787.5</v>
      </c>
      <c r="I20" s="88">
        <f>'FLUJO DE TESORERÍA '!I26</f>
        <v>160811476.875</v>
      </c>
      <c r="J20" s="88">
        <f>'FLUJO DE TESORERÍA '!J26</f>
        <v>168852050.71875</v>
      </c>
      <c r="K20" s="88">
        <f>'FLUJO DE TESORERÍA '!K26</f>
        <v>177294653.25468752</v>
      </c>
      <c r="L20" s="88">
        <f>'FLUJO DE TESORERÍA '!L26</f>
        <v>186159385.91742191</v>
      </c>
    </row>
    <row r="21" spans="1:12">
      <c r="A21" s="7" t="str">
        <f>'FLUJO DE TESORERÍA '!A28</f>
        <v>GASTOS OPERATIVOS Y ADMINISTRATIVOS</v>
      </c>
      <c r="B21" s="88">
        <f>'FLUJO DE TESORERÍA '!B28</f>
        <v>225600000</v>
      </c>
      <c r="C21" s="88">
        <f>'FLUJO DE TESORERÍA '!C28</f>
        <v>236880000</v>
      </c>
      <c r="D21" s="88">
        <f>'FLUJO DE TESORERÍA '!D28</f>
        <v>248724000</v>
      </c>
      <c r="E21" s="88">
        <f>'FLUJO DE TESORERÍA '!E28</f>
        <v>261160200</v>
      </c>
      <c r="F21" s="88">
        <f>'FLUJO DE TESORERÍA '!F28</f>
        <v>274218210</v>
      </c>
      <c r="G21" s="88">
        <f>'FLUJO DE TESORERÍA '!G28</f>
        <v>287929120.5</v>
      </c>
      <c r="H21" s="88">
        <f>'FLUJO DE TESORERÍA '!H28</f>
        <v>302325576.52500004</v>
      </c>
      <c r="I21" s="88">
        <f>'FLUJO DE TESORERÍA '!I28</f>
        <v>317441855.35125005</v>
      </c>
      <c r="J21" s="88">
        <f>'FLUJO DE TESORERÍA '!J28</f>
        <v>333313948.11881256</v>
      </c>
      <c r="K21" s="88">
        <f>'FLUJO DE TESORERÍA '!K28</f>
        <v>349979645.52475321</v>
      </c>
      <c r="L21" s="88">
        <f>'FLUJO DE TESORERÍA '!L28</f>
        <v>367478627.80099088</v>
      </c>
    </row>
    <row r="22" spans="1:12">
      <c r="A22" s="7" t="str">
        <f>'FLUJO DE TESORERÍA '!A30</f>
        <v>COMISIONES VIVIENDA</v>
      </c>
      <c r="B22" s="88">
        <f>'FLUJO DE TESORERÍA '!B30</f>
        <v>0</v>
      </c>
      <c r="C22" s="88">
        <f>'FLUJO DE TESORERÍA '!C30</f>
        <v>199500000</v>
      </c>
      <c r="D22" s="88">
        <f>'FLUJO DE TESORERÍA '!D30</f>
        <v>291000000</v>
      </c>
      <c r="E22" s="88">
        <f>'FLUJO DE TESORERÍA '!E30</f>
        <v>382500000</v>
      </c>
      <c r="F22" s="88">
        <f>'FLUJO DE TESORERÍA '!F30</f>
        <v>474000000</v>
      </c>
      <c r="G22" s="88">
        <f>'FLUJO DE TESORERÍA '!G30</f>
        <v>565500000</v>
      </c>
      <c r="H22" s="88">
        <f>'FLUJO DE TESORERÍA '!H30</f>
        <v>528000000</v>
      </c>
      <c r="I22" s="88">
        <f>'FLUJO DE TESORERÍA '!I30</f>
        <v>436500000</v>
      </c>
      <c r="J22" s="88">
        <f>'FLUJO DE TESORERÍA '!J30</f>
        <v>345000000</v>
      </c>
      <c r="K22" s="88">
        <f>'FLUJO DE TESORERÍA '!K30</f>
        <v>253500000</v>
      </c>
      <c r="L22" s="88">
        <f>'FLUJO DE TESORERÍA '!L30</f>
        <v>162000000</v>
      </c>
    </row>
    <row r="23" spans="1:12">
      <c r="A23" s="7" t="str">
        <f>'FLUJO DE TESORERÍA '!A31</f>
        <v xml:space="preserve">COMISIONES HOTEL </v>
      </c>
      <c r="B23" s="88">
        <f>'FLUJO DE TESORERÍA '!B31</f>
        <v>0</v>
      </c>
      <c r="C23" s="88">
        <f>'FLUJO DE TESORERÍA '!C31</f>
        <v>0</v>
      </c>
      <c r="D23" s="88">
        <f>'FLUJO DE TESORERÍA '!D31</f>
        <v>0</v>
      </c>
      <c r="E23" s="88">
        <f>'FLUJO DE TESORERÍA '!E31</f>
        <v>0</v>
      </c>
      <c r="F23" s="88">
        <f>'FLUJO DE TESORERÍA '!F31</f>
        <v>0</v>
      </c>
      <c r="G23" s="88">
        <f>'FLUJO DE TESORERÍA '!G31</f>
        <v>145000000</v>
      </c>
      <c r="H23" s="88">
        <f>'FLUJO DE TESORERÍA '!H31</f>
        <v>145000000</v>
      </c>
      <c r="I23" s="88">
        <f>'FLUJO DE TESORERÍA '!I31</f>
        <v>145000000</v>
      </c>
      <c r="J23" s="88">
        <f>'FLUJO DE TESORERÍA '!J31</f>
        <v>0</v>
      </c>
      <c r="K23" s="88">
        <f>'FLUJO DE TESORERÍA '!K31</f>
        <v>0</v>
      </c>
      <c r="L23" s="88">
        <f>'FLUJO DE TESORERÍA '!L31</f>
        <v>0</v>
      </c>
    </row>
    <row r="24" spans="1:12">
      <c r="A24" s="20" t="s">
        <v>15</v>
      </c>
      <c r="B24" s="21">
        <f t="shared" ref="B24:L24" si="1">+SUM(B14:B23)</f>
        <v>1343600000</v>
      </c>
      <c r="C24" s="21">
        <f t="shared" si="1"/>
        <v>10074580000</v>
      </c>
      <c r="D24" s="21">
        <f t="shared" si="1"/>
        <v>13987304000</v>
      </c>
      <c r="E24" s="21">
        <f t="shared" si="1"/>
        <v>17910982200</v>
      </c>
      <c r="F24" s="21">
        <f t="shared" si="1"/>
        <v>21844653010</v>
      </c>
      <c r="G24" s="21">
        <f t="shared" si="1"/>
        <v>25932457690.5</v>
      </c>
      <c r="H24" s="21">
        <f t="shared" si="1"/>
        <v>30235630402.025002</v>
      </c>
      <c r="I24" s="21">
        <f t="shared" si="1"/>
        <v>26203489266.42625</v>
      </c>
      <c r="J24" s="21">
        <f t="shared" si="1"/>
        <v>22033428339.617561</v>
      </c>
      <c r="K24" s="21">
        <f t="shared" si="1"/>
        <v>12029910405.481441</v>
      </c>
      <c r="L24" s="21">
        <f t="shared" si="1"/>
        <v>8017460509.7502136</v>
      </c>
    </row>
    <row r="25" spans="1:12" s="30" customFormat="1">
      <c r="A25" s="2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30" customFormat="1">
      <c r="A26" s="20" t="s">
        <v>83</v>
      </c>
      <c r="B26" s="24">
        <f t="shared" ref="B26:L26" si="2">+B11-B24</f>
        <v>-1343600000</v>
      </c>
      <c r="C26" s="24">
        <f t="shared" si="2"/>
        <v>3225420000</v>
      </c>
      <c r="D26" s="24">
        <f t="shared" si="2"/>
        <v>5412696000</v>
      </c>
      <c r="E26" s="24">
        <f t="shared" si="2"/>
        <v>7589017800</v>
      </c>
      <c r="F26" s="24">
        <f t="shared" si="2"/>
        <v>9755346990</v>
      </c>
      <c r="G26" s="24">
        <f t="shared" si="2"/>
        <v>21434208976.166664</v>
      </c>
      <c r="H26" s="24">
        <f t="shared" si="2"/>
        <v>14631036264.641663</v>
      </c>
      <c r="I26" s="24">
        <f t="shared" si="2"/>
        <v>12563177400.240414</v>
      </c>
      <c r="J26" s="24">
        <f t="shared" si="2"/>
        <v>966571660.38243866</v>
      </c>
      <c r="K26" s="24">
        <f t="shared" si="2"/>
        <v>4870089594.5185585</v>
      </c>
      <c r="L26" s="24">
        <f t="shared" si="2"/>
        <v>2782539490.2497864</v>
      </c>
    </row>
    <row r="27" spans="1:12" s="30" customFormat="1">
      <c r="A27" s="29" t="s">
        <v>84</v>
      </c>
      <c r="B27" s="13"/>
      <c r="C27" s="13">
        <f>C26*35%</f>
        <v>1128897000</v>
      </c>
      <c r="D27" s="13">
        <f t="shared" ref="D27:K27" si="3">D26*35%</f>
        <v>1894443599.9999998</v>
      </c>
      <c r="E27" s="13">
        <f t="shared" si="3"/>
        <v>2656156230</v>
      </c>
      <c r="F27" s="13">
        <f t="shared" si="3"/>
        <v>3414371446.5</v>
      </c>
      <c r="G27" s="13">
        <f t="shared" si="3"/>
        <v>7501973141.6583319</v>
      </c>
      <c r="H27" s="13">
        <f t="shared" si="3"/>
        <v>5120862692.6245813</v>
      </c>
      <c r="I27" s="13">
        <f t="shared" si="3"/>
        <v>4397112090.0841446</v>
      </c>
      <c r="J27" s="13"/>
      <c r="K27" s="13">
        <f t="shared" si="3"/>
        <v>1704531358.0814953</v>
      </c>
      <c r="L27" s="13">
        <f t="shared" ref="L27" si="4">L26*35%</f>
        <v>973888821.58742511</v>
      </c>
    </row>
    <row r="28" spans="1:12" s="30" customFormat="1">
      <c r="A28" s="20" t="s">
        <v>85</v>
      </c>
      <c r="B28" s="24">
        <f>B26-B27</f>
        <v>-1343600000</v>
      </c>
      <c r="C28" s="24">
        <f t="shared" ref="C28:K28" si="5">C26-C27</f>
        <v>2096523000</v>
      </c>
      <c r="D28" s="24">
        <f t="shared" si="5"/>
        <v>3518252400</v>
      </c>
      <c r="E28" s="24">
        <f t="shared" si="5"/>
        <v>4932861570</v>
      </c>
      <c r="F28" s="24">
        <f t="shared" si="5"/>
        <v>6340975543.5</v>
      </c>
      <c r="G28" s="24">
        <f t="shared" si="5"/>
        <v>13932235834.508331</v>
      </c>
      <c r="H28" s="24">
        <f t="shared" si="5"/>
        <v>9510173572.0170822</v>
      </c>
      <c r="I28" s="24">
        <f t="shared" si="5"/>
        <v>8166065310.1562691</v>
      </c>
      <c r="J28" s="24">
        <f t="shared" si="5"/>
        <v>966571660.38243866</v>
      </c>
      <c r="K28" s="24">
        <f t="shared" si="5"/>
        <v>3165558236.4370632</v>
      </c>
      <c r="L28" s="24">
        <f t="shared" ref="L28" si="6">L26-L27</f>
        <v>1808650668.6623611</v>
      </c>
    </row>
    <row r="29" spans="1:12" s="30" customFormat="1">
      <c r="A29" s="2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20" t="s">
        <v>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>
      <c r="A31" s="7" t="s">
        <v>10</v>
      </c>
      <c r="B31" s="5">
        <f>+'FLUJO DE TESORERÍA '!B20</f>
        <v>3360000000</v>
      </c>
      <c r="C31" s="5">
        <f>+'FLUJO DE TESORERÍA '!C20</f>
        <v>3360000000</v>
      </c>
      <c r="D31" s="5">
        <f>+'FLUJO DE TESORERÍA '!D20</f>
        <v>3360000000</v>
      </c>
      <c r="E31" s="5">
        <f>+'FLUJO DE TESORERÍA '!E20</f>
        <v>3360000000</v>
      </c>
      <c r="F31" s="2"/>
      <c r="G31" s="2"/>
      <c r="H31" s="2"/>
      <c r="I31" s="2"/>
      <c r="J31" s="2"/>
      <c r="K31" s="2"/>
      <c r="L31" s="2"/>
    </row>
    <row r="32" spans="1:12">
      <c r="A32" s="7" t="str">
        <f>'FLUJO DE TESORERÍA '!A18</f>
        <v xml:space="preserve">ESTUDIO DE FACTIBILIDAD </v>
      </c>
      <c r="B32" s="88">
        <f>'FLUJO DE TESORERÍA '!B18</f>
        <v>500000000</v>
      </c>
      <c r="C32" s="88">
        <f>'FLUJO DE TESORERÍA '!C18</f>
        <v>0</v>
      </c>
      <c r="D32" s="88">
        <f>'FLUJO DE TESORERÍA '!D18</f>
        <v>0</v>
      </c>
      <c r="E32" s="88">
        <f>'FLUJO DE TESORERÍA '!E18</f>
        <v>0</v>
      </c>
      <c r="F32" s="88">
        <f>'FLUJO DE TESORERÍA '!F18</f>
        <v>0</v>
      </c>
      <c r="G32" s="88">
        <f>'FLUJO DE TESORERÍA '!G18</f>
        <v>0</v>
      </c>
      <c r="H32" s="88">
        <f>'FLUJO DE TESORERÍA '!H18</f>
        <v>0</v>
      </c>
      <c r="I32" s="88">
        <f>'FLUJO DE TESORERÍA '!I18</f>
        <v>0</v>
      </c>
      <c r="J32" s="88">
        <f>'FLUJO DE TESORERÍA '!J18</f>
        <v>0</v>
      </c>
      <c r="K32" s="88">
        <f>'FLUJO DE TESORERÍA '!K18</f>
        <v>0</v>
      </c>
      <c r="L32" s="88">
        <f>'FLUJO DE TESORERÍA '!L18</f>
        <v>0</v>
      </c>
    </row>
    <row r="33" spans="1:12">
      <c r="A33" s="7" t="str">
        <f>'FLUJO DE TESORERÍA '!A19</f>
        <v xml:space="preserve">DISEÑO ARQUITECTÓNICO  Y URBANISTICO </v>
      </c>
      <c r="B33" s="88">
        <f>'FLUJO DE TESORERÍA '!B19</f>
        <v>278781502.13333338</v>
      </c>
      <c r="C33" s="88">
        <f>'FLUJO DE TESORERÍA '!C19</f>
        <v>0</v>
      </c>
      <c r="D33" s="88">
        <f>'FLUJO DE TESORERÍA '!D19</f>
        <v>0</v>
      </c>
      <c r="E33" s="88">
        <f>'FLUJO DE TESORERÍA '!E19</f>
        <v>0</v>
      </c>
      <c r="F33" s="88">
        <f>'FLUJO DE TESORERÍA '!F19</f>
        <v>1305665406.5000005</v>
      </c>
      <c r="G33" s="88">
        <f>'FLUJO DE TESORERÍA '!G19</f>
        <v>0</v>
      </c>
      <c r="H33" s="88">
        <f>'FLUJO DE TESORERÍA '!H19</f>
        <v>0</v>
      </c>
      <c r="I33" s="88">
        <f>'FLUJO DE TESORERÍA '!I19</f>
        <v>0</v>
      </c>
      <c r="J33" s="88">
        <f>'FLUJO DE TESORERÍA '!J19</f>
        <v>0</v>
      </c>
      <c r="K33" s="88">
        <f>'FLUJO DE TESORERÍA '!K19</f>
        <v>0</v>
      </c>
      <c r="L33" s="88">
        <f>'FLUJO DE TESORERÍA '!L19</f>
        <v>0</v>
      </c>
    </row>
    <row r="34" spans="1:12">
      <c r="A34" s="7" t="str">
        <f>'FLUJO DE TESORERÍA '!A27</f>
        <v xml:space="preserve">COSTOS DE PUESTA EN MARCHA </v>
      </c>
      <c r="B34" s="88">
        <f>'FLUJO DE TESORERÍA '!B27</f>
        <v>408700000</v>
      </c>
      <c r="C34" s="88">
        <f>'FLUJO DE TESORERÍA '!C27</f>
        <v>0</v>
      </c>
      <c r="D34" s="88">
        <f>'FLUJO DE TESORERÍA '!D27</f>
        <v>0</v>
      </c>
      <c r="E34" s="88">
        <f>'FLUJO DE TESORERÍA '!E27</f>
        <v>0</v>
      </c>
      <c r="F34" s="88">
        <f>'FLUJO DE TESORERÍA '!F27</f>
        <v>0</v>
      </c>
      <c r="G34" s="88">
        <f>'FLUJO DE TESORERÍA '!G27</f>
        <v>0</v>
      </c>
      <c r="H34" s="88">
        <f>'FLUJO DE TESORERÍA '!H27</f>
        <v>0</v>
      </c>
      <c r="I34" s="88">
        <f>'FLUJO DE TESORERÍA '!I27</f>
        <v>0</v>
      </c>
      <c r="J34" s="88">
        <f>'FLUJO DE TESORERÍA '!J27</f>
        <v>0</v>
      </c>
      <c r="K34" s="88">
        <f>'FLUJO DE TESORERÍA '!K27</f>
        <v>0</v>
      </c>
      <c r="L34" s="88">
        <f>'FLUJO DE TESORERÍA '!L27</f>
        <v>0</v>
      </c>
    </row>
    <row r="35" spans="1:12">
      <c r="A35" s="20" t="s">
        <v>87</v>
      </c>
      <c r="B35" s="21">
        <f>SUM(B31:B34)</f>
        <v>4547481502.1333332</v>
      </c>
      <c r="C35" s="21">
        <f t="shared" ref="C35:L35" si="7">SUM(C31:C34)</f>
        <v>3360000000</v>
      </c>
      <c r="D35" s="21">
        <f t="shared" si="7"/>
        <v>3360000000</v>
      </c>
      <c r="E35" s="21">
        <f t="shared" si="7"/>
        <v>3360000000</v>
      </c>
      <c r="F35" s="21">
        <f t="shared" si="7"/>
        <v>1305665406.5000005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</row>
    <row r="36" spans="1:12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0" t="s">
        <v>88</v>
      </c>
      <c r="B37" s="21">
        <f t="shared" ref="B37:L37" si="8">B28-B35</f>
        <v>-5891081502.1333332</v>
      </c>
      <c r="C37" s="21">
        <f t="shared" si="8"/>
        <v>-1263477000</v>
      </c>
      <c r="D37" s="21">
        <f t="shared" si="8"/>
        <v>158252400</v>
      </c>
      <c r="E37" s="21">
        <f t="shared" si="8"/>
        <v>1572861570</v>
      </c>
      <c r="F37" s="21">
        <f t="shared" si="8"/>
        <v>5035310137</v>
      </c>
      <c r="G37" s="21">
        <f t="shared" si="8"/>
        <v>13932235834.508331</v>
      </c>
      <c r="H37" s="21">
        <f t="shared" si="8"/>
        <v>9510173572.0170822</v>
      </c>
      <c r="I37" s="21">
        <f t="shared" si="8"/>
        <v>8166065310.1562691</v>
      </c>
      <c r="J37" s="21">
        <f t="shared" si="8"/>
        <v>966571660.38243866</v>
      </c>
      <c r="K37" s="21">
        <f t="shared" si="8"/>
        <v>3165558236.4370632</v>
      </c>
      <c r="L37" s="21">
        <f t="shared" si="8"/>
        <v>1808650668.6623611</v>
      </c>
    </row>
    <row r="38" spans="1:12" s="30" customFormat="1" ht="15.75" thickBot="1">
      <c r="A38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2">
      <c r="A39" s="65" t="s">
        <v>178</v>
      </c>
      <c r="B39" s="66">
        <v>0.21</v>
      </c>
      <c r="D39" s="3"/>
    </row>
    <row r="40" spans="1:12">
      <c r="A40" s="67" t="s">
        <v>89</v>
      </c>
      <c r="B40" s="68">
        <f>NPV($B$39,D37:L37)+B37+C37</f>
        <v>10929597983.615026</v>
      </c>
      <c r="D40" s="33"/>
    </row>
    <row r="41" spans="1:12" ht="15.75" thickBot="1">
      <c r="A41" s="69" t="s">
        <v>90</v>
      </c>
      <c r="B41" s="70">
        <f>+IRR(B37:L37,B39)</f>
        <v>0.40327481816932503</v>
      </c>
    </row>
    <row r="42" spans="1:12">
      <c r="B42" s="14"/>
    </row>
  </sheetData>
  <mergeCells count="2">
    <mergeCell ref="A2:L2"/>
    <mergeCell ref="A1:L1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Normal="100" workbookViewId="0">
      <selection activeCell="C20" sqref="C20"/>
    </sheetView>
  </sheetViews>
  <sheetFormatPr baseColWidth="10" defaultRowHeight="15"/>
  <cols>
    <col min="1" max="1" width="39.42578125" bestFit="1" customWidth="1"/>
    <col min="2" max="2" width="16.85546875" bestFit="1" customWidth="1"/>
    <col min="3" max="3" width="18.28515625" bestFit="1" customWidth="1"/>
    <col min="4" max="9" width="19" bestFit="1" customWidth="1"/>
    <col min="10" max="10" width="18.28515625" bestFit="1" customWidth="1"/>
    <col min="11" max="11" width="17.7109375" bestFit="1" customWidth="1"/>
    <col min="12" max="12" width="16.7109375" bestFit="1" customWidth="1"/>
  </cols>
  <sheetData>
    <row r="1" spans="1:12" ht="18.75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8.75">
      <c r="A2" s="180" t="s">
        <v>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1" customFormat="1">
      <c r="A3" s="22"/>
      <c r="B3" s="1" t="str">
        <f>+'FLUJO DE CAJA DEL PROYECTO'!B3</f>
        <v>AÑO 0</v>
      </c>
      <c r="C3" s="1" t="str">
        <f>+'FLUJO DE CAJA DEL PROYECTO'!C3</f>
        <v>AÑO 1</v>
      </c>
      <c r="D3" s="1" t="str">
        <f>+'FLUJO DE CAJA DEL PROYECTO'!D3</f>
        <v>AÑO 2</v>
      </c>
      <c r="E3" s="1" t="str">
        <f>+'FLUJO DE CAJA DEL PROYECTO'!E3</f>
        <v>AÑO 3</v>
      </c>
      <c r="F3" s="1" t="str">
        <f>+'FLUJO DE CAJA DEL PROYECTO'!F3</f>
        <v>AÑO 4</v>
      </c>
      <c r="G3" s="1" t="str">
        <f>+'FLUJO DE CAJA DEL PROYECTO'!G3</f>
        <v>AÑO 5</v>
      </c>
      <c r="H3" s="1" t="str">
        <f>+'FLUJO DE CAJA DEL PROYECTO'!H3</f>
        <v>AÑO 6</v>
      </c>
      <c r="I3" s="1" t="str">
        <f>+'FLUJO DE CAJA DEL PROYECTO'!I3</f>
        <v>AÑO 7</v>
      </c>
      <c r="J3" s="1" t="str">
        <f>+'FLUJO DE CAJA DEL PROYECTO'!J3</f>
        <v>AÑO 8</v>
      </c>
      <c r="K3" s="1" t="str">
        <f>+'FLUJO DE CAJA DEL PROYECTO'!K3</f>
        <v>AÑO 9</v>
      </c>
      <c r="L3" s="1" t="str">
        <f>+'FLUJO DE CAJA DEL PROYECTO'!L3</f>
        <v>AÑO 10</v>
      </c>
    </row>
    <row r="4" spans="1:12">
      <c r="A4" s="9" t="s">
        <v>28</v>
      </c>
      <c r="B4" s="5">
        <f>+SUM('FLUJO DE TESORERÍA '!B9:B11)</f>
        <v>0</v>
      </c>
      <c r="C4" s="5">
        <f>+SUM('FLUJO DE TESORERÍA '!C9:C12)</f>
        <v>13300000000</v>
      </c>
      <c r="D4" s="5">
        <f>+SUM('FLUJO DE TESORERÍA '!D9:D12)</f>
        <v>19400000000</v>
      </c>
      <c r="E4" s="5">
        <f>+SUM('FLUJO DE TESORERÍA '!E9:E12)</f>
        <v>25500000000</v>
      </c>
      <c r="F4" s="5">
        <f>+SUM('FLUJO DE TESORERÍA '!F9:F12)</f>
        <v>31600000000</v>
      </c>
      <c r="G4" s="5">
        <f>+SUM('FLUJO DE TESORERÍA '!G9:G12)</f>
        <v>47366666666.666664</v>
      </c>
      <c r="H4" s="5">
        <f>+SUM('FLUJO DE TESORERÍA '!H9:H12)</f>
        <v>44866666666.666664</v>
      </c>
      <c r="I4" s="5">
        <f>+SUM('FLUJO DE TESORERÍA '!I9:I12)</f>
        <v>38766666666.666664</v>
      </c>
      <c r="J4" s="5">
        <f>+SUM('FLUJO DE TESORERÍA '!J9:J12)</f>
        <v>23000000000</v>
      </c>
      <c r="K4" s="5">
        <f>+SUM('FLUJO DE TESORERÍA '!K9:K12)</f>
        <v>16900000000</v>
      </c>
      <c r="L4" s="5">
        <f>+SUM('FLUJO DE TESORERÍA '!L9:L12)</f>
        <v>10800000000</v>
      </c>
    </row>
    <row r="5" spans="1:12">
      <c r="A5" s="2" t="s">
        <v>152</v>
      </c>
      <c r="B5" s="5">
        <f>+SUM('FLUJO DE TESORERÍA '!B21:B23)</f>
        <v>0</v>
      </c>
      <c r="C5" s="5">
        <f>+SUM('FLUJO DE TESORERÍA '!C21:C24)</f>
        <v>8512000000</v>
      </c>
      <c r="D5" s="5">
        <f>+SUM('FLUJO DE TESORERÍA '!D21:D24)</f>
        <v>12416000000</v>
      </c>
      <c r="E5" s="5">
        <f>+SUM('FLUJO DE TESORERÍA '!E21:E24)</f>
        <v>16320000000</v>
      </c>
      <c r="F5" s="5">
        <f>+SUM('FLUJO DE TESORERÍA '!F21:F24)</f>
        <v>20224000000</v>
      </c>
      <c r="G5" s="5">
        <f>+SUM('FLUJO DE TESORERÍA '!G21:G24)</f>
        <v>24128000000</v>
      </c>
      <c r="H5" s="5">
        <f>+SUM('FLUJO DE TESORERÍA '!H21:H24)</f>
        <v>28513000000</v>
      </c>
      <c r="I5" s="5">
        <f>+SUM('FLUJO DE TESORERÍA '!I21:I24)</f>
        <v>24609000000</v>
      </c>
      <c r="J5" s="5">
        <f>+SUM('FLUJO DE TESORERÍA '!J21:J24)</f>
        <v>20705000000</v>
      </c>
      <c r="K5" s="5">
        <f>+SUM('FLUJO DE TESORERÍA '!K21:K24)</f>
        <v>10816000000</v>
      </c>
      <c r="L5" s="5">
        <f>+SUM('FLUJO DE TESORERÍA '!L21:L24)</f>
        <v>6912000000</v>
      </c>
    </row>
    <row r="6" spans="1:12">
      <c r="A6" s="2" t="s">
        <v>153</v>
      </c>
      <c r="B6" s="5">
        <f>+SUM('DATOS GENERALES'!B41:B43)</f>
        <v>0</v>
      </c>
      <c r="C6" s="5">
        <f>+SUM('DATOS GENERALES'!C41:C43)</f>
        <v>725760000</v>
      </c>
      <c r="D6" s="5">
        <f>+SUM('DATOS GENERALES'!D41:D43)</f>
        <v>1075200000</v>
      </c>
      <c r="E6" s="5">
        <f>+SUM('DATOS GENERALES'!E41:E43)</f>
        <v>1424640000</v>
      </c>
      <c r="F6" s="5">
        <f>+SUM('DATOS GENERALES'!F41:F43)</f>
        <v>1774080000</v>
      </c>
      <c r="G6" s="5">
        <f>+SUM('DATOS GENERALES'!G41:G43)</f>
        <v>2123520000</v>
      </c>
      <c r="H6" s="5">
        <f>+SUM('DATOS GENERALES'!H41:H43)</f>
        <v>1962240000</v>
      </c>
      <c r="I6" s="5">
        <f>+SUM('DATOS GENERALES'!I41:I43)</f>
        <v>1612800000</v>
      </c>
      <c r="J6" s="5">
        <f>+SUM('DATOS GENERALES'!J41:J43)</f>
        <v>1263360000</v>
      </c>
      <c r="K6" s="5">
        <f>+SUM('DATOS GENERALES'!K41:K43)</f>
        <v>913920000</v>
      </c>
      <c r="L6" s="5">
        <f>+SUM('DATOS GENERALES'!L41:L43)</f>
        <v>564480000</v>
      </c>
    </row>
    <row r="7" spans="1:12">
      <c r="A7" s="2" t="s">
        <v>154</v>
      </c>
      <c r="B7" s="5">
        <f>+SUM(B5:B6)</f>
        <v>0</v>
      </c>
      <c r="C7" s="5">
        <f t="shared" ref="C7:L7" si="0">+SUM(C5:C6)</f>
        <v>9237760000</v>
      </c>
      <c r="D7" s="5">
        <f t="shared" si="0"/>
        <v>13491200000</v>
      </c>
      <c r="E7" s="5">
        <f t="shared" si="0"/>
        <v>17744640000</v>
      </c>
      <c r="F7" s="5">
        <f t="shared" si="0"/>
        <v>21998080000</v>
      </c>
      <c r="G7" s="5">
        <f t="shared" si="0"/>
        <v>26251520000</v>
      </c>
      <c r="H7" s="5">
        <f t="shared" si="0"/>
        <v>30475240000</v>
      </c>
      <c r="I7" s="5">
        <f t="shared" si="0"/>
        <v>26221800000</v>
      </c>
      <c r="J7" s="5">
        <f t="shared" si="0"/>
        <v>21968360000</v>
      </c>
      <c r="K7" s="5">
        <f t="shared" si="0"/>
        <v>11729920000</v>
      </c>
      <c r="L7" s="5">
        <f t="shared" si="0"/>
        <v>7476480000</v>
      </c>
    </row>
    <row r="8" spans="1:1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23" t="s">
        <v>0</v>
      </c>
      <c r="B9" s="24">
        <f>+B4-B7</f>
        <v>0</v>
      </c>
      <c r="C9" s="24">
        <f t="shared" ref="C9:L9" si="1">+C4-C7</f>
        <v>4062240000</v>
      </c>
      <c r="D9" s="24">
        <f t="shared" si="1"/>
        <v>5908800000</v>
      </c>
      <c r="E9" s="24">
        <f t="shared" si="1"/>
        <v>7755360000</v>
      </c>
      <c r="F9" s="24">
        <f t="shared" si="1"/>
        <v>9601920000</v>
      </c>
      <c r="G9" s="24">
        <f t="shared" si="1"/>
        <v>21115146666.666664</v>
      </c>
      <c r="H9" s="24">
        <f t="shared" si="1"/>
        <v>14391426666.666664</v>
      </c>
      <c r="I9" s="24">
        <f t="shared" si="1"/>
        <v>12544866666.666664</v>
      </c>
      <c r="J9" s="24">
        <f t="shared" si="1"/>
        <v>1031640000</v>
      </c>
      <c r="K9" s="24">
        <f t="shared" si="1"/>
        <v>5170080000</v>
      </c>
      <c r="L9" s="24">
        <f t="shared" si="1"/>
        <v>3323520000</v>
      </c>
    </row>
    <row r="10" spans="1:12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29</v>
      </c>
      <c r="B11" s="5">
        <f>+'FLUJO DE TESORERÍA '!B28</f>
        <v>225600000</v>
      </c>
      <c r="C11" s="5">
        <f>+'FLUJO DE TESORERÍA '!C28</f>
        <v>236880000</v>
      </c>
      <c r="D11" s="5">
        <f>+'FLUJO DE TESORERÍA '!D28</f>
        <v>248724000</v>
      </c>
      <c r="E11" s="5">
        <f>+'FLUJO DE TESORERÍA '!E28</f>
        <v>261160200</v>
      </c>
      <c r="F11" s="5">
        <f>+'FLUJO DE TESORERÍA '!F28</f>
        <v>274218210</v>
      </c>
      <c r="G11" s="5">
        <f>+'FLUJO DE TESORERÍA '!G28</f>
        <v>287929120.5</v>
      </c>
      <c r="H11" s="5">
        <f>+'FLUJO DE TESORERÍA '!H28</f>
        <v>302325576.52500004</v>
      </c>
      <c r="I11" s="5">
        <f>+'FLUJO DE TESORERÍA '!I28</f>
        <v>317441855.35125005</v>
      </c>
      <c r="J11" s="5">
        <f>+'FLUJO DE TESORERÍA '!J28</f>
        <v>333313948.11881256</v>
      </c>
      <c r="K11" s="5">
        <f>+'FLUJO DE TESORERÍA '!K28</f>
        <v>349979645.52475321</v>
      </c>
      <c r="L11" s="5">
        <f>+'FLUJO DE TESORERÍA '!L28</f>
        <v>367478627.80099088</v>
      </c>
    </row>
    <row r="12" spans="1:12">
      <c r="A12" s="2" t="s">
        <v>36</v>
      </c>
      <c r="B12" s="5">
        <f>+'FLUJO DE TESORERÍA '!B26+'FLUJO DE TESORERÍA '!B30+'FLUJO DE TESORERÍA '!B31</f>
        <v>0</v>
      </c>
      <c r="C12" s="5">
        <f>+'FLUJO DE TESORERÍA '!C26+'FLUJO DE TESORERÍA '!C30+'FLUJO DE TESORERÍA '!C31</f>
        <v>319500000</v>
      </c>
      <c r="D12" s="5">
        <f>+'FLUJO DE TESORERÍA '!D26+'FLUJO DE TESORERÍA '!D30+'FLUJO DE TESORERÍA '!D31</f>
        <v>417000000</v>
      </c>
      <c r="E12" s="5">
        <f>+'FLUJO DE TESORERÍA '!E26+'FLUJO DE TESORERÍA '!E30+'FLUJO DE TESORERÍA '!E31</f>
        <v>514800000</v>
      </c>
      <c r="F12" s="5">
        <f>+'FLUJO DE TESORERÍA '!F26+'FLUJO DE TESORERÍA '!F30+'FLUJO DE TESORERÍA '!F31</f>
        <v>612915000</v>
      </c>
      <c r="G12" s="5">
        <f>+'FLUJO DE TESORERÍA '!G26+'FLUJO DE TESORERÍA '!G30+'FLUJO DE TESORERÍA '!G31</f>
        <v>856360750</v>
      </c>
      <c r="H12" s="5">
        <f>+'FLUJO DE TESORERÍA '!H26+'FLUJO DE TESORERÍA '!H30+'FLUJO DE TESORERÍA '!H31</f>
        <v>826153787.5</v>
      </c>
      <c r="I12" s="5">
        <f>+'FLUJO DE TESORERÍA '!I26+'FLUJO DE TESORERÍA '!I30+'FLUJO DE TESORERÍA '!I31</f>
        <v>742311476.875</v>
      </c>
      <c r="J12" s="5">
        <f>+'FLUJO DE TESORERÍA '!J26+'FLUJO DE TESORERÍA '!J30+'FLUJO DE TESORERÍA '!J31</f>
        <v>513852050.71875</v>
      </c>
      <c r="K12" s="5">
        <f>+'FLUJO DE TESORERÍA '!K26+'FLUJO DE TESORERÍA '!K30+'FLUJO DE TESORERÍA '!K31</f>
        <v>430794653.25468755</v>
      </c>
      <c r="L12" s="5">
        <f>+'FLUJO DE TESORERÍA '!L26+'FLUJO DE TESORERÍA '!L30+'FLUJO DE TESORERÍA '!L31</f>
        <v>348159385.91742194</v>
      </c>
    </row>
    <row r="13" spans="1:12">
      <c r="A13" s="2" t="s">
        <v>30</v>
      </c>
      <c r="B13" s="5">
        <f>+'FLUJO DE TESORERÍA '!B25</f>
        <v>1118000000</v>
      </c>
      <c r="C13" s="5">
        <f>+'FLUJO DE TESORERÍA '!C25</f>
        <v>1006200000</v>
      </c>
      <c r="D13" s="5">
        <f>+'FLUJO DE TESORERÍA '!D25</f>
        <v>905580000</v>
      </c>
      <c r="E13" s="5">
        <f>+'FLUJO DE TESORERÍA '!E25</f>
        <v>815022000</v>
      </c>
      <c r="F13" s="5">
        <f>+'FLUJO DE TESORERÍA '!F25</f>
        <v>733519800</v>
      </c>
      <c r="G13" s="5">
        <f>+'FLUJO DE TESORERÍA '!G25</f>
        <v>660167820</v>
      </c>
      <c r="H13" s="5">
        <f>+'FLUJO DE TESORERÍA '!H25</f>
        <v>594151038</v>
      </c>
      <c r="I13" s="5">
        <f>+'FLUJO DE TESORERÍA '!I25</f>
        <v>534735934.19999999</v>
      </c>
      <c r="J13" s="5">
        <f>+'FLUJO DE TESORERÍA '!J25</f>
        <v>481262340.77999997</v>
      </c>
      <c r="K13" s="5">
        <f>+'FLUJO DE TESORERÍA '!K25</f>
        <v>433136106.70199996</v>
      </c>
      <c r="L13" s="5">
        <f>+'FLUJO DE TESORERÍA '!L25</f>
        <v>389822496.03179997</v>
      </c>
    </row>
    <row r="14" spans="1:12">
      <c r="A14" s="25" t="s">
        <v>31</v>
      </c>
      <c r="B14" s="26">
        <f>SUM(B11:B13)</f>
        <v>1343600000</v>
      </c>
      <c r="C14" s="26">
        <f t="shared" ref="C14:K14" si="2">SUM(C11:C13)</f>
        <v>1562580000</v>
      </c>
      <c r="D14" s="26">
        <f t="shared" si="2"/>
        <v>1571304000</v>
      </c>
      <c r="E14" s="26">
        <f t="shared" si="2"/>
        <v>1590982200</v>
      </c>
      <c r="F14" s="26">
        <f t="shared" si="2"/>
        <v>1620653010</v>
      </c>
      <c r="G14" s="26">
        <f t="shared" si="2"/>
        <v>1804457690.5</v>
      </c>
      <c r="H14" s="26">
        <f t="shared" si="2"/>
        <v>1722630402.0250001</v>
      </c>
      <c r="I14" s="26">
        <f t="shared" si="2"/>
        <v>1594489266.42625</v>
      </c>
      <c r="J14" s="26">
        <f t="shared" si="2"/>
        <v>1328428339.6175625</v>
      </c>
      <c r="K14" s="26">
        <f t="shared" si="2"/>
        <v>1213910405.4814408</v>
      </c>
      <c r="L14" s="26">
        <f t="shared" ref="L14" si="3">SUM(L11:L13)</f>
        <v>1105460509.7502129</v>
      </c>
    </row>
    <row r="15" spans="1:12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23" t="s">
        <v>32</v>
      </c>
      <c r="B16" s="24">
        <f t="shared" ref="B16:K16" si="4">B9-B14</f>
        <v>-1343600000</v>
      </c>
      <c r="C16" s="24">
        <f t="shared" si="4"/>
        <v>2499660000</v>
      </c>
      <c r="D16" s="24">
        <f t="shared" si="4"/>
        <v>4337496000</v>
      </c>
      <c r="E16" s="24">
        <f t="shared" si="4"/>
        <v>6164377800</v>
      </c>
      <c r="F16" s="24">
        <f t="shared" si="4"/>
        <v>7981266990</v>
      </c>
      <c r="G16" s="24">
        <f t="shared" si="4"/>
        <v>19310688976.166664</v>
      </c>
      <c r="H16" s="24">
        <f t="shared" si="4"/>
        <v>12668796264.641665</v>
      </c>
      <c r="I16" s="24">
        <f t="shared" si="4"/>
        <v>10950377400.240414</v>
      </c>
      <c r="J16" s="24">
        <f t="shared" si="4"/>
        <v>-296788339.61756253</v>
      </c>
      <c r="K16" s="24">
        <f t="shared" si="4"/>
        <v>3956169594.5185595</v>
      </c>
      <c r="L16" s="24">
        <f t="shared" ref="L16" si="5">L9-L14</f>
        <v>2218059490.2497873</v>
      </c>
    </row>
    <row r="17" spans="1:12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9" t="s">
        <v>33</v>
      </c>
      <c r="B18" s="5">
        <f>+'FLUJO DE TESORERÍA '!B14</f>
        <v>0</v>
      </c>
      <c r="C18" s="5">
        <f>+'FLUJO DE TESORERÍA '!C14</f>
        <v>0</v>
      </c>
      <c r="D18" s="5">
        <f>+'FLUJO DE TESORERÍA '!D14</f>
        <v>0</v>
      </c>
      <c r="E18" s="5">
        <f>+'FLUJO DE TESORERÍA '!E14</f>
        <v>0</v>
      </c>
      <c r="F18" s="5">
        <f>+'FLUJO DE TESORERÍA '!F14</f>
        <v>0</v>
      </c>
      <c r="G18" s="5">
        <f>+'FLUJO DE TESORERÍA '!G14</f>
        <v>0</v>
      </c>
      <c r="H18" s="5">
        <f>+'FLUJO DE TESORERÍA '!H14</f>
        <v>0</v>
      </c>
      <c r="I18" s="5">
        <f>+'FLUJO DE TESORERÍA '!I14</f>
        <v>0</v>
      </c>
      <c r="J18" s="5">
        <f>+'FLUJO DE TESORERÍA '!J14</f>
        <v>0</v>
      </c>
      <c r="K18" s="5">
        <f>+'FLUJO DE TESORERÍA '!K14</f>
        <v>0</v>
      </c>
      <c r="L18" s="5">
        <f>+'FLUJO DE TESORERÍA '!L14</f>
        <v>0</v>
      </c>
    </row>
    <row r="19" spans="1:12">
      <c r="A19" s="9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3" t="s">
        <v>1</v>
      </c>
      <c r="B21" s="24">
        <f>B16+B18-B19</f>
        <v>-1343600000</v>
      </c>
      <c r="C21" s="24">
        <f t="shared" ref="C21:K21" si="6">C16+C18-C19</f>
        <v>2499660000</v>
      </c>
      <c r="D21" s="24">
        <f t="shared" si="6"/>
        <v>4337496000</v>
      </c>
      <c r="E21" s="24">
        <f t="shared" si="6"/>
        <v>6164377800</v>
      </c>
      <c r="F21" s="24">
        <f t="shared" si="6"/>
        <v>7981266990</v>
      </c>
      <c r="G21" s="24">
        <f t="shared" si="6"/>
        <v>19310688976.166664</v>
      </c>
      <c r="H21" s="24">
        <f t="shared" si="6"/>
        <v>12668796264.641665</v>
      </c>
      <c r="I21" s="24">
        <f t="shared" si="6"/>
        <v>10950377400.240414</v>
      </c>
      <c r="J21" s="24">
        <f t="shared" si="6"/>
        <v>-296788339.61756253</v>
      </c>
      <c r="K21" s="24">
        <f t="shared" si="6"/>
        <v>3956169594.5185595</v>
      </c>
      <c r="L21" s="24">
        <f t="shared" ref="L21" si="7">L16+L18-L19</f>
        <v>2218059490.2497873</v>
      </c>
    </row>
    <row r="22" spans="1:12">
      <c r="A22" s="10" t="s">
        <v>35</v>
      </c>
      <c r="B22" s="5">
        <v>0</v>
      </c>
      <c r="C22" s="5">
        <f t="shared" ref="C22:K22" si="8">C21*0.35</f>
        <v>874881000</v>
      </c>
      <c r="D22" s="5">
        <f t="shared" si="8"/>
        <v>1518123600</v>
      </c>
      <c r="E22" s="5">
        <f t="shared" si="8"/>
        <v>2157532230</v>
      </c>
      <c r="F22" s="5">
        <f t="shared" si="8"/>
        <v>2793443446.5</v>
      </c>
      <c r="G22" s="5">
        <f t="shared" si="8"/>
        <v>6758741141.6583319</v>
      </c>
      <c r="H22" s="5">
        <f t="shared" si="8"/>
        <v>4434078692.6245823</v>
      </c>
      <c r="I22" s="5">
        <f t="shared" si="8"/>
        <v>3832632090.0841446</v>
      </c>
      <c r="J22" s="5"/>
      <c r="K22" s="5">
        <f t="shared" si="8"/>
        <v>1384659358.0814958</v>
      </c>
      <c r="L22" s="5">
        <f t="shared" ref="L22" si="9">L21*0.35</f>
        <v>776320821.58742547</v>
      </c>
    </row>
    <row r="23" spans="1:1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23" t="s">
        <v>2</v>
      </c>
      <c r="B24" s="21">
        <f>B21-B22</f>
        <v>-1343600000</v>
      </c>
      <c r="C24" s="21">
        <f t="shared" ref="C24:K24" si="10">C21-C22</f>
        <v>1624779000</v>
      </c>
      <c r="D24" s="21">
        <f t="shared" si="10"/>
        <v>2819372400</v>
      </c>
      <c r="E24" s="21">
        <f t="shared" si="10"/>
        <v>4006845570</v>
      </c>
      <c r="F24" s="21">
        <f t="shared" si="10"/>
        <v>5187823543.5</v>
      </c>
      <c r="G24" s="21">
        <f t="shared" si="10"/>
        <v>12551947834.508331</v>
      </c>
      <c r="H24" s="21">
        <f t="shared" si="10"/>
        <v>8234717572.0170822</v>
      </c>
      <c r="I24" s="21">
        <f t="shared" si="10"/>
        <v>7117745310.1562691</v>
      </c>
      <c r="J24" s="21">
        <f t="shared" si="10"/>
        <v>-296788339.61756253</v>
      </c>
      <c r="K24" s="21">
        <f t="shared" si="10"/>
        <v>2571510236.4370637</v>
      </c>
      <c r="L24" s="21">
        <f t="shared" ref="L24" si="11">L21-L22</f>
        <v>1441738668.6623619</v>
      </c>
    </row>
    <row r="26" spans="1:12">
      <c r="A26" s="2" t="s">
        <v>91</v>
      </c>
      <c r="B26" s="2"/>
      <c r="C26" s="16">
        <f t="shared" ref="C26:L26" si="12">C24/C9</f>
        <v>0.39997119815668203</v>
      </c>
      <c r="D26" s="16">
        <f t="shared" si="12"/>
        <v>0.47714805036555646</v>
      </c>
      <c r="E26" s="16">
        <f t="shared" si="12"/>
        <v>0.51665500634399952</v>
      </c>
      <c r="F26" s="16">
        <f t="shared" si="12"/>
        <v>0.5402902277357029</v>
      </c>
      <c r="G26" s="16">
        <f t="shared" si="12"/>
        <v>0.59445231580244762</v>
      </c>
      <c r="H26" s="16">
        <f t="shared" si="12"/>
        <v>0.57219605552313213</v>
      </c>
      <c r="I26" s="16">
        <f t="shared" si="12"/>
        <v>0.56738309774698847</v>
      </c>
      <c r="J26" s="16">
        <f t="shared" si="12"/>
        <v>-0.28768595597065111</v>
      </c>
      <c r="K26" s="16">
        <f t="shared" si="12"/>
        <v>0.49738306495007112</v>
      </c>
      <c r="L26" s="16">
        <f t="shared" si="12"/>
        <v>0.43379870398323522</v>
      </c>
    </row>
  </sheetData>
  <mergeCells count="2">
    <mergeCell ref="A2:L2"/>
    <mergeCell ref="A1:L1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opLeftCell="A8" zoomScaleNormal="100" workbookViewId="0">
      <selection activeCell="D25" sqref="D25"/>
    </sheetView>
  </sheetViews>
  <sheetFormatPr baseColWidth="10" defaultRowHeight="15"/>
  <cols>
    <col min="1" max="1" width="42" bestFit="1" customWidth="1"/>
    <col min="2" max="11" width="19.7109375" bestFit="1" customWidth="1"/>
    <col min="12" max="12" width="18.42578125" bestFit="1" customWidth="1"/>
  </cols>
  <sheetData>
    <row r="1" spans="1:12" ht="23.25">
      <c r="A1" s="181" t="s">
        <v>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2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>
      <c r="A3" s="1"/>
      <c r="B3" s="12" t="str">
        <f>+'ESTADO DE RESULTADOS'!B3</f>
        <v>AÑO 0</v>
      </c>
      <c r="C3" s="12" t="str">
        <f>+'ESTADO DE RESULTADOS'!C3</f>
        <v>AÑO 1</v>
      </c>
      <c r="D3" s="12" t="str">
        <f>+'ESTADO DE RESULTADOS'!D3</f>
        <v>AÑO 2</v>
      </c>
      <c r="E3" s="12" t="str">
        <f>+'ESTADO DE RESULTADOS'!E3</f>
        <v>AÑO 3</v>
      </c>
      <c r="F3" s="12" t="str">
        <f>+'ESTADO DE RESULTADOS'!F3</f>
        <v>AÑO 4</v>
      </c>
      <c r="G3" s="12" t="str">
        <f>+'ESTADO DE RESULTADOS'!G3</f>
        <v>AÑO 5</v>
      </c>
      <c r="H3" s="12" t="str">
        <f>+'ESTADO DE RESULTADOS'!H3</f>
        <v>AÑO 6</v>
      </c>
      <c r="I3" s="12" t="str">
        <f>+'ESTADO DE RESULTADOS'!I3</f>
        <v>AÑO 7</v>
      </c>
      <c r="J3" s="12" t="str">
        <f>+'ESTADO DE RESULTADOS'!J3</f>
        <v>AÑO 8</v>
      </c>
      <c r="K3" s="12" t="str">
        <f>+'ESTADO DE RESULTADOS'!K3</f>
        <v>AÑO 9</v>
      </c>
      <c r="L3" s="12" t="str">
        <f>+'ESTADO DE RESULTADOS'!L3</f>
        <v>AÑO 10</v>
      </c>
    </row>
    <row r="4" spans="1:12">
      <c r="A4" s="18" t="s">
        <v>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>
      <c r="A5" s="2" t="s">
        <v>38</v>
      </c>
      <c r="B5" s="5">
        <f>+'FLUJO DE TESORERÍA '!B34</f>
        <v>108918497.86666679</v>
      </c>
      <c r="C5" s="5">
        <f>+'FLUJO DE TESORERÍA '!C34</f>
        <v>1099457497.8666668</v>
      </c>
      <c r="D5" s="5">
        <f>+'FLUJO DE TESORERÍA '!D34</f>
        <v>2134029897.8666687</v>
      </c>
      <c r="E5" s="5">
        <f>+'FLUJO DE TESORERÍA '!E34</f>
        <v>4205515467.8666687</v>
      </c>
      <c r="F5" s="5">
        <f>+'FLUJO DE TESORERÍA '!F34</f>
        <v>9861753604.8666687</v>
      </c>
      <c r="G5" s="5">
        <f>+'FLUJO DE TESORERÍA '!G34</f>
        <v>24537221439.375</v>
      </c>
      <c r="H5" s="5">
        <f>+'FLUJO DE TESORERÍA '!H34</f>
        <v>34734179011.392075</v>
      </c>
      <c r="I5" s="5">
        <f>+'FLUJO DE TESORERÍA '!I34</f>
        <v>43464724321.548355</v>
      </c>
      <c r="J5" s="5">
        <f>+'FLUJO DE TESORERÍA '!J34</f>
        <v>44431295981.930794</v>
      </c>
      <c r="K5" s="5">
        <f>+'FLUJO DE TESORERÍA '!K34</f>
        <v>47916726218.367859</v>
      </c>
      <c r="L5" s="5">
        <f>+'FLUJO DE TESORERÍA '!L34</f>
        <v>49922944887.03022</v>
      </c>
    </row>
    <row r="6" spans="1:12">
      <c r="A6" s="2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2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18" t="s">
        <v>41</v>
      </c>
      <c r="B8" s="24">
        <f>SUM(B5:B7)</f>
        <v>108918497.86666679</v>
      </c>
      <c r="C8" s="24">
        <f t="shared" ref="C8:K8" si="0">SUM(C5:C7)</f>
        <v>1099457497.8666668</v>
      </c>
      <c r="D8" s="24">
        <f t="shared" si="0"/>
        <v>2134029897.8666687</v>
      </c>
      <c r="E8" s="24">
        <f t="shared" si="0"/>
        <v>4205515467.8666687</v>
      </c>
      <c r="F8" s="24">
        <f t="shared" si="0"/>
        <v>9861753604.8666687</v>
      </c>
      <c r="G8" s="24">
        <f t="shared" si="0"/>
        <v>24537221439.375</v>
      </c>
      <c r="H8" s="24">
        <f t="shared" si="0"/>
        <v>34734179011.392075</v>
      </c>
      <c r="I8" s="24">
        <f t="shared" si="0"/>
        <v>43464724321.548355</v>
      </c>
      <c r="J8" s="24">
        <f t="shared" si="0"/>
        <v>44431295981.930794</v>
      </c>
      <c r="K8" s="24">
        <f t="shared" si="0"/>
        <v>47916726218.367859</v>
      </c>
      <c r="L8" s="24">
        <f t="shared" ref="L8" si="1">SUM(L5:L7)</f>
        <v>49922944887.03022</v>
      </c>
    </row>
    <row r="9" spans="1:12">
      <c r="A9" s="10" t="s">
        <v>67</v>
      </c>
      <c r="B9" s="13">
        <f>+'DATOS GENERALES'!B55</f>
        <v>13440000000</v>
      </c>
      <c r="C9" s="13">
        <f>+B9-SUM('DATOS GENERALES'!C41:C43)</f>
        <v>12714240000</v>
      </c>
      <c r="D9" s="13">
        <f>+C9-SUM('DATOS GENERALES'!D41:D43)</f>
        <v>11639040000</v>
      </c>
      <c r="E9" s="13">
        <f>+D9-SUM('DATOS GENERALES'!E41:E43)</f>
        <v>10214400000</v>
      </c>
      <c r="F9" s="13">
        <f>+E9-SUM('DATOS GENERALES'!F41:F43)</f>
        <v>8440320000</v>
      </c>
      <c r="G9" s="13">
        <f>+F9-SUM('DATOS GENERALES'!G41:G43)</f>
        <v>6316800000</v>
      </c>
      <c r="H9" s="13">
        <f>+G9-SUM('DATOS GENERALES'!H41:H43)</f>
        <v>4354560000</v>
      </c>
      <c r="I9" s="13">
        <f>+H9-SUM('DATOS GENERALES'!I41:I43)</f>
        <v>2741760000</v>
      </c>
      <c r="J9" s="13">
        <f>+I9-SUM('DATOS GENERALES'!J41:J43)</f>
        <v>1478400000</v>
      </c>
      <c r="K9" s="13">
        <f>+J9-SUM('DATOS GENERALES'!K41:K43)</f>
        <v>564480000</v>
      </c>
      <c r="L9" s="13">
        <f>+K9-SUM('DATOS GENERALES'!L41:L43)</f>
        <v>0</v>
      </c>
    </row>
    <row r="10" spans="1:12">
      <c r="A10" s="10" t="s">
        <v>54</v>
      </c>
      <c r="B10" s="13">
        <f>'FLUJO DE TESORERÍA '!B18+'FLUJO DE TESORERÍA '!B19</f>
        <v>778781502.13333344</v>
      </c>
      <c r="C10" s="13">
        <f>B10+'FLUJO DE TESORERÍA '!C18+'FLUJO DE TESORERÍA '!C19</f>
        <v>778781502.13333344</v>
      </c>
      <c r="D10" s="13">
        <f>C10+'FLUJO DE TESORERÍA '!D18+'FLUJO DE TESORERÍA '!D19</f>
        <v>778781502.13333344</v>
      </c>
      <c r="E10" s="13">
        <f>D10+'FLUJO DE TESORERÍA '!E18+'FLUJO DE TESORERÍA '!E19</f>
        <v>778781502.13333344</v>
      </c>
      <c r="F10" s="13">
        <f>E10+'FLUJO DE TESORERÍA '!F18+'FLUJO DE TESORERÍA '!F19</f>
        <v>2084446908.6333339</v>
      </c>
      <c r="G10" s="13">
        <f>F10+'FLUJO DE TESORERÍA '!G18+'FLUJO DE TESORERÍA '!G19</f>
        <v>2084446908.6333339</v>
      </c>
      <c r="H10" s="13">
        <f>G10+'FLUJO DE TESORERÍA '!H18+'FLUJO DE TESORERÍA '!H19</f>
        <v>2084446908.6333339</v>
      </c>
      <c r="I10" s="13">
        <f>H10+'FLUJO DE TESORERÍA '!I18+'FLUJO DE TESORERÍA '!I19</f>
        <v>2084446908.6333339</v>
      </c>
      <c r="J10" s="13">
        <f>I10+'FLUJO DE TESORERÍA '!J18+'FLUJO DE TESORERÍA '!J19</f>
        <v>2084446908.6333339</v>
      </c>
      <c r="K10" s="13">
        <f>J10+'FLUJO DE TESORERÍA '!K18+'FLUJO DE TESORERÍA '!K19</f>
        <v>2084446908.6333339</v>
      </c>
      <c r="L10" s="13">
        <f>K10+'FLUJO DE TESORERÍA '!L18+'FLUJO DE TESORERÍA '!L19</f>
        <v>2084446908.6333339</v>
      </c>
    </row>
    <row r="11" spans="1:12">
      <c r="A11" s="2" t="s">
        <v>169</v>
      </c>
      <c r="B11" s="5">
        <f>+'FLUJO DE TESORERÍA '!$B$27</f>
        <v>408700000</v>
      </c>
      <c r="C11" s="5">
        <f>+'FLUJO DE TESORERÍA '!$B$27</f>
        <v>408700000</v>
      </c>
      <c r="D11" s="5">
        <f>+'FLUJO DE TESORERÍA '!$B$27</f>
        <v>408700000</v>
      </c>
      <c r="E11" s="5">
        <f>+'FLUJO DE TESORERÍA '!$B$27</f>
        <v>408700000</v>
      </c>
      <c r="F11" s="5">
        <f>+'FLUJO DE TESORERÍA '!$B$27</f>
        <v>408700000</v>
      </c>
      <c r="G11" s="5">
        <f>+'FLUJO DE TESORERÍA '!$B$27</f>
        <v>408700000</v>
      </c>
      <c r="H11" s="5">
        <f>+'FLUJO DE TESORERÍA '!$B$27</f>
        <v>408700000</v>
      </c>
      <c r="I11" s="5">
        <f>+'FLUJO DE TESORERÍA '!$B$27</f>
        <v>408700000</v>
      </c>
      <c r="J11" s="5">
        <f>+'FLUJO DE TESORERÍA '!$B$27</f>
        <v>408700000</v>
      </c>
      <c r="K11" s="5">
        <f>+'FLUJO DE TESORERÍA '!$B$27</f>
        <v>408700000</v>
      </c>
      <c r="L11" s="5">
        <f>+'FLUJO DE TESORERÍA '!$B$27</f>
        <v>408700000</v>
      </c>
    </row>
    <row r="12" spans="1:12">
      <c r="A12" s="18" t="s">
        <v>42</v>
      </c>
      <c r="B12" s="24">
        <f t="shared" ref="B12:L12" si="2">SUM(B9:B11)</f>
        <v>14627481502.133333</v>
      </c>
      <c r="C12" s="24">
        <f t="shared" si="2"/>
        <v>13901721502.133333</v>
      </c>
      <c r="D12" s="24">
        <f t="shared" si="2"/>
        <v>12826521502.133333</v>
      </c>
      <c r="E12" s="24">
        <f t="shared" si="2"/>
        <v>11401881502.133333</v>
      </c>
      <c r="F12" s="24">
        <f t="shared" si="2"/>
        <v>10933466908.633333</v>
      </c>
      <c r="G12" s="24">
        <f t="shared" si="2"/>
        <v>8809946908.6333351</v>
      </c>
      <c r="H12" s="24">
        <f t="shared" si="2"/>
        <v>6847706908.6333342</v>
      </c>
      <c r="I12" s="24">
        <f t="shared" si="2"/>
        <v>5234906908.6333342</v>
      </c>
      <c r="J12" s="24">
        <f t="shared" si="2"/>
        <v>3971546908.6333342</v>
      </c>
      <c r="K12" s="24">
        <f t="shared" si="2"/>
        <v>3057626908.6333342</v>
      </c>
      <c r="L12" s="24">
        <f t="shared" si="2"/>
        <v>2493146908.6333342</v>
      </c>
    </row>
    <row r="13" spans="1:12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27" t="s">
        <v>43</v>
      </c>
      <c r="B14" s="28">
        <f t="shared" ref="B14:L14" si="3">B12+B8</f>
        <v>14736400000</v>
      </c>
      <c r="C14" s="28">
        <f t="shared" si="3"/>
        <v>15001179000</v>
      </c>
      <c r="D14" s="28">
        <f t="shared" si="3"/>
        <v>14960551400.000002</v>
      </c>
      <c r="E14" s="28">
        <f t="shared" si="3"/>
        <v>15607396970.000002</v>
      </c>
      <c r="F14" s="28">
        <f t="shared" si="3"/>
        <v>20795220513.5</v>
      </c>
      <c r="G14" s="28">
        <f t="shared" si="3"/>
        <v>33347168348.008335</v>
      </c>
      <c r="H14" s="28">
        <f t="shared" si="3"/>
        <v>41581885920.025406</v>
      </c>
      <c r="I14" s="28">
        <f t="shared" si="3"/>
        <v>48699631230.181686</v>
      </c>
      <c r="J14" s="28">
        <f t="shared" si="3"/>
        <v>48402842890.564125</v>
      </c>
      <c r="K14" s="28">
        <f t="shared" si="3"/>
        <v>50974353127.00119</v>
      </c>
      <c r="L14" s="28">
        <f t="shared" si="3"/>
        <v>52416091795.663551</v>
      </c>
    </row>
    <row r="15" spans="1:12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18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>
      <c r="A17" s="2" t="s">
        <v>45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2" t="s">
        <v>46</v>
      </c>
      <c r="B18" s="5">
        <f>+B9-'FLUJO DE TESORERÍA '!B20</f>
        <v>10080000000</v>
      </c>
      <c r="C18" s="5">
        <f>+B18-'FLUJO DE TESORERÍA '!C20</f>
        <v>6720000000</v>
      </c>
      <c r="D18" s="5">
        <f>+C18-'FLUJO DE TESORERÍA '!D20</f>
        <v>3360000000</v>
      </c>
      <c r="E18" s="5">
        <f>+D18-'FLUJO DE TESORERÍA '!E20</f>
        <v>0</v>
      </c>
      <c r="F18" s="5"/>
      <c r="G18" s="5"/>
      <c r="H18" s="5"/>
      <c r="I18" s="5"/>
      <c r="J18" s="5"/>
      <c r="K18" s="5"/>
      <c r="L18" s="5"/>
    </row>
    <row r="19" spans="1:12">
      <c r="A19" s="18" t="s">
        <v>179</v>
      </c>
      <c r="B19" s="24">
        <f>+SUM(B17:B18)</f>
        <v>10080000000</v>
      </c>
      <c r="C19" s="24">
        <f t="shared" ref="C19:L19" si="4">+SUM(C17:C18)</f>
        <v>6720000000</v>
      </c>
      <c r="D19" s="24">
        <f t="shared" si="4"/>
        <v>3360000000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</row>
    <row r="20" spans="1:12">
      <c r="A20" s="2" t="s">
        <v>47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7" t="s">
        <v>48</v>
      </c>
      <c r="B21" s="28">
        <f>+B20+B19</f>
        <v>10080000000</v>
      </c>
      <c r="C21" s="28">
        <f t="shared" ref="C21:L21" si="5">+C20+C19</f>
        <v>6720000000</v>
      </c>
      <c r="D21" s="28">
        <f t="shared" si="5"/>
        <v>3360000000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</row>
    <row r="22" spans="1:12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18" t="s">
        <v>49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>
      <c r="A24" s="2" t="s">
        <v>55</v>
      </c>
      <c r="B24" s="5">
        <f>'FLUJO DE TESORERÍA '!B13</f>
        <v>6000000000</v>
      </c>
      <c r="C24" s="5">
        <f>B24+'FLUJO DE TESORERÍA '!C13</f>
        <v>8000000000</v>
      </c>
      <c r="D24" s="5">
        <f>C24+'FLUJO DE TESORERÍA '!D13</f>
        <v>8500000000</v>
      </c>
      <c r="E24" s="5">
        <f>D24+'FLUJO DE TESORERÍA '!E13</f>
        <v>8500000000</v>
      </c>
      <c r="F24" s="5">
        <f>E24+'FLUJO DE TESORERÍA '!F13</f>
        <v>8500000000</v>
      </c>
      <c r="G24" s="5">
        <f>F24+'FLUJO DE TESORERÍA '!G13</f>
        <v>8500000000</v>
      </c>
      <c r="H24" s="5">
        <f>G24+'FLUJO DE TESORERÍA '!H13</f>
        <v>8500000000</v>
      </c>
      <c r="I24" s="5">
        <f>H24+'FLUJO DE TESORERÍA '!I13</f>
        <v>8500000000</v>
      </c>
      <c r="J24" s="5">
        <f>I24+'FLUJO DE TESORERÍA '!J13</f>
        <v>8500000000</v>
      </c>
      <c r="K24" s="5">
        <f>J24+'FLUJO DE TESORERÍA '!K13</f>
        <v>8500000000</v>
      </c>
      <c r="L24" s="5">
        <f>K24+'FLUJO DE TESORERÍA '!L13</f>
        <v>8500000000</v>
      </c>
    </row>
    <row r="25" spans="1:12">
      <c r="A25" s="2" t="s">
        <v>50</v>
      </c>
      <c r="B25" s="5">
        <f>'ESTADO DE RESULTADOS'!B24</f>
        <v>-1343600000</v>
      </c>
      <c r="C25" s="5">
        <f>B25+'ESTADO DE RESULTADOS'!C24</f>
        <v>281179000</v>
      </c>
      <c r="D25" s="5">
        <f>C25+'ESTADO DE RESULTADOS'!D24</f>
        <v>3100551400</v>
      </c>
      <c r="E25" s="5">
        <f>D25+'ESTADO DE RESULTADOS'!E24</f>
        <v>7107396970</v>
      </c>
      <c r="F25" s="5">
        <f>E25+'ESTADO DE RESULTADOS'!F24</f>
        <v>12295220513.5</v>
      </c>
      <c r="G25" s="5">
        <f>F25+'ESTADO DE RESULTADOS'!G24</f>
        <v>24847168348.008331</v>
      </c>
      <c r="H25" s="5">
        <f>G25+'ESTADO DE RESULTADOS'!H24</f>
        <v>33081885920.025414</v>
      </c>
      <c r="I25" s="5">
        <f>H25+'ESTADO DE RESULTADOS'!I24</f>
        <v>40199631230.181686</v>
      </c>
      <c r="J25" s="5">
        <f>I25+'ESTADO DE RESULTADOS'!J24</f>
        <v>39902842890.564125</v>
      </c>
      <c r="K25" s="5">
        <f>J25+'ESTADO DE RESULTADOS'!K24</f>
        <v>42474353127.00119</v>
      </c>
      <c r="L25" s="5">
        <f>K25+'ESTADO DE RESULTADOS'!L24</f>
        <v>43916091795.663551</v>
      </c>
    </row>
    <row r="26" spans="1:12">
      <c r="A26" s="18" t="s">
        <v>51</v>
      </c>
      <c r="B26" s="24">
        <f t="shared" ref="B26:K26" si="6">B24+B25</f>
        <v>4656400000</v>
      </c>
      <c r="C26" s="24">
        <f t="shared" si="6"/>
        <v>8281179000</v>
      </c>
      <c r="D26" s="24">
        <f t="shared" si="6"/>
        <v>11600551400</v>
      </c>
      <c r="E26" s="24">
        <f t="shared" si="6"/>
        <v>15607396970</v>
      </c>
      <c r="F26" s="24">
        <f t="shared" si="6"/>
        <v>20795220513.5</v>
      </c>
      <c r="G26" s="24">
        <f t="shared" si="6"/>
        <v>33347168348.008331</v>
      </c>
      <c r="H26" s="24">
        <f t="shared" si="6"/>
        <v>41581885920.025414</v>
      </c>
      <c r="I26" s="24">
        <f t="shared" si="6"/>
        <v>48699631230.181686</v>
      </c>
      <c r="J26" s="24">
        <f t="shared" si="6"/>
        <v>48402842890.564125</v>
      </c>
      <c r="K26" s="24">
        <f t="shared" si="6"/>
        <v>50974353127.00119</v>
      </c>
      <c r="L26" s="24">
        <f t="shared" ref="L26" si="7">L24+L25</f>
        <v>52416091795.663551</v>
      </c>
    </row>
    <row r="27" spans="1:12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27" t="s">
        <v>52</v>
      </c>
      <c r="B28" s="28">
        <f t="shared" ref="B28:K28" si="8">B26+B21</f>
        <v>14736400000</v>
      </c>
      <c r="C28" s="28">
        <f t="shared" si="8"/>
        <v>15001179000</v>
      </c>
      <c r="D28" s="28">
        <f t="shared" si="8"/>
        <v>14960551400</v>
      </c>
      <c r="E28" s="28">
        <f t="shared" si="8"/>
        <v>15607396970</v>
      </c>
      <c r="F28" s="28">
        <f t="shared" si="8"/>
        <v>20795220513.5</v>
      </c>
      <c r="G28" s="28">
        <f t="shared" si="8"/>
        <v>33347168348.008331</v>
      </c>
      <c r="H28" s="28">
        <f t="shared" si="8"/>
        <v>41581885920.025414</v>
      </c>
      <c r="I28" s="28">
        <f t="shared" si="8"/>
        <v>48699631230.181686</v>
      </c>
      <c r="J28" s="28">
        <f t="shared" si="8"/>
        <v>48402842890.564125</v>
      </c>
      <c r="K28" s="28">
        <f t="shared" si="8"/>
        <v>50974353127.00119</v>
      </c>
      <c r="L28" s="28">
        <f t="shared" ref="L28" si="9">L26+L21</f>
        <v>52416091795.663551</v>
      </c>
    </row>
    <row r="29" spans="1:12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2" t="s">
        <v>53</v>
      </c>
      <c r="B30" s="5">
        <f t="shared" ref="B30:K30" si="10">B14-B28</f>
        <v>0</v>
      </c>
      <c r="C30" s="5">
        <f t="shared" si="10"/>
        <v>0</v>
      </c>
      <c r="D30" s="5">
        <f t="shared" si="10"/>
        <v>0</v>
      </c>
      <c r="E30" s="5">
        <f t="shared" si="10"/>
        <v>0</v>
      </c>
      <c r="F30" s="5">
        <f t="shared" si="10"/>
        <v>0</v>
      </c>
      <c r="G30" s="5">
        <f t="shared" si="10"/>
        <v>0</v>
      </c>
      <c r="H30" s="5">
        <f t="shared" si="10"/>
        <v>0</v>
      </c>
      <c r="I30" s="5">
        <f t="shared" si="10"/>
        <v>0</v>
      </c>
      <c r="J30" s="5">
        <f t="shared" si="10"/>
        <v>0</v>
      </c>
      <c r="K30" s="5">
        <f t="shared" si="10"/>
        <v>0</v>
      </c>
      <c r="L30" s="5">
        <f t="shared" ref="L30" si="11">L14-L28</f>
        <v>0</v>
      </c>
    </row>
    <row r="32" spans="1:12">
      <c r="A32" s="2" t="s">
        <v>92</v>
      </c>
      <c r="B32" s="32">
        <f>'ESTADO DE RESULTADOS'!B24/BALANCE!B14</f>
        <v>-9.1175592410629461E-2</v>
      </c>
      <c r="C32" s="32">
        <f>'ESTADO DE RESULTADOS'!C24/BALANCE!C14</f>
        <v>0.10831008682717538</v>
      </c>
      <c r="D32" s="32">
        <f>'ESTADO DE RESULTADOS'!D24/BALANCE!D14</f>
        <v>0.1884537758414439</v>
      </c>
      <c r="E32" s="32">
        <f>'ESTADO DE RESULTADOS'!E24/BALANCE!E14</f>
        <v>0.25672734394478591</v>
      </c>
      <c r="F32" s="32">
        <f>'ESTADO DE RESULTADOS'!F24/BALANCE!F14</f>
        <v>0.24947191784439743</v>
      </c>
      <c r="G32" s="32">
        <f>'ESTADO DE RESULTADOS'!G24/BALANCE!G14</f>
        <v>0.37640220913263833</v>
      </c>
      <c r="H32" s="32">
        <f>'ESTADO DE RESULTADOS'!H24/BALANCE!H14</f>
        <v>0.19803617343991911</v>
      </c>
      <c r="I32" s="32">
        <f>'ESTADO DE RESULTADOS'!I24/BALANCE!I14</f>
        <v>0.14615604123394332</v>
      </c>
      <c r="J32" s="32">
        <f>'ESTADO DE RESULTADOS'!J24/BALANCE!J14</f>
        <v>-6.1316303318915142E-3</v>
      </c>
      <c r="K32" s="32">
        <f>'ESTADO DE RESULTADOS'!K24/BALANCE!K14</f>
        <v>5.0447138191831824E-2</v>
      </c>
      <c r="L32" s="32">
        <f>'ESTADO DE RESULTADOS'!L24/BALANCE!L14</f>
        <v>2.7505649873377981E-2</v>
      </c>
    </row>
  </sheetData>
  <mergeCells count="2">
    <mergeCell ref="A2:L2"/>
    <mergeCell ref="A1:L1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GENERALES</vt:lpstr>
      <vt:lpstr>ESTRUCTURA FINANCIERA</vt:lpstr>
      <vt:lpstr>FLUJO DE TESORERÍA </vt:lpstr>
      <vt:lpstr>FLUJO DE CAJA DEL PROYECTO</vt:lpstr>
      <vt:lpstr>ESTADO DE RESULTADOS</vt:lpstr>
      <vt:lpstr>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Bonilla</dc:creator>
  <cp:lastModifiedBy>Jorge Bonilla</cp:lastModifiedBy>
  <cp:lastPrinted>2010-07-01T05:35:37Z</cp:lastPrinted>
  <dcterms:created xsi:type="dcterms:W3CDTF">2010-06-22T19:21:26Z</dcterms:created>
  <dcterms:modified xsi:type="dcterms:W3CDTF">2010-09-10T02:30:19Z</dcterms:modified>
</cp:coreProperties>
</file>