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/>
  <workbookPr/>
  <mc:AlternateContent xmlns:mc="http://schemas.openxmlformats.org/markup-compatibility/2006">
    <mc:Choice Requires="x15">
      <x15ac:absPath xmlns:x15ac="http://schemas.microsoft.com/office/spreadsheetml/2010/11/ac" url="https://uredu-my.sharepoint.com/personal/nally_amezquita_urosario_edu_co/Documents/Trabajo de Grado/DTS/Anexos/"/>
    </mc:Choice>
  </mc:AlternateContent>
  <xr:revisionPtr revIDLastSave="0" documentId="8_{144E8114-600F-473C-9D1C-AE2CCD066A89}" xr6:coauthVersionLast="47" xr6:coauthVersionMax="47" xr10:uidLastSave="{00000000-0000-0000-0000-000000000000}"/>
  <bookViews>
    <workbookView xWindow="-108" yWindow="-108" windowWidth="23256" windowHeight="13896" firstSheet="31" activeTab="31" xr2:uid="{5B04CAAA-34C4-466E-9E5B-2ADA129EAFC6}"/>
  </bookViews>
  <sheets>
    <sheet name="00_DATOS_1" sheetId="16" r:id="rId1"/>
    <sheet name="00_DATOS_NORMA" sheetId="22" r:id="rId2"/>
    <sheet name="00_DATOS_Usos_Norma" sheetId="31" r:id="rId3"/>
    <sheet name="00_Datos_Mercado" sheetId="32" r:id="rId4"/>
    <sheet name="00_DATOS_PMoradores" sheetId="24" r:id="rId5"/>
    <sheet name="00_Datos_General" sheetId="40" r:id="rId6"/>
    <sheet name="00_Lote_CNT_Existente" sheetId="20" r:id="rId7"/>
    <sheet name="01_JURIDICO" sheetId="1" r:id="rId8"/>
    <sheet name="02_MO_Sketchup" sheetId="49" r:id="rId9"/>
    <sheet name="03_GENERAL" sheetId="7" r:id="rId10"/>
    <sheet name="04a_PROPUESTA_MO" sheetId="14" r:id="rId11"/>
    <sheet name="04b_MO_Ajuste" sheetId="34" state="hidden" r:id="rId12"/>
    <sheet name="04c_Resumen_MO" sheetId="27" r:id="rId13"/>
    <sheet name="05a_UAU_Moradores" sheetId="17" r:id="rId14"/>
    <sheet name="05b_MORADORES" sheetId="23" r:id="rId15"/>
    <sheet name="05c_Resumen_MORADORES" sheetId="29" r:id="rId16"/>
    <sheet name="06_CARGAS" sheetId="28" r:id="rId17"/>
    <sheet name="07a_ATC" sheetId="30" r:id="rId18"/>
    <sheet name="07b_ATC_Ajuste" sheetId="33" r:id="rId19"/>
    <sheet name="07c_ATC_Ajustado" sheetId="35" r:id="rId20"/>
    <sheet name="08_ATC_por_USOS" sheetId="37" r:id="rId21"/>
    <sheet name="09_CARGA_VISVIP" sheetId="58" r:id="rId22"/>
    <sheet name="10_Costos_Renobo" sheetId="43" r:id="rId23"/>
    <sheet name="11_Estacionamientos" sheetId="39" r:id="rId24"/>
    <sheet name="12_BENEFICIOS" sheetId="51" r:id="rId25"/>
    <sheet name="13a_ECP" sheetId="47" r:id="rId26"/>
    <sheet name="13b_ECP" sheetId="48" r:id="rId27"/>
    <sheet name="14_SIM_UF_INICIAL" sheetId="41" state="hidden" r:id="rId28"/>
    <sheet name="15_Reparto_C&amp;B" sheetId="53" r:id="rId29"/>
    <sheet name="16_SIM_UF_FINAL" sheetId="56" r:id="rId30"/>
    <sheet name="17_Resumen_SIM_UF" sheetId="44" r:id="rId31"/>
    <sheet name="18_SIM_UF_X_UAU" sheetId="46" r:id="rId32"/>
  </sheets>
  <definedNames>
    <definedName name="_xlnm._FilterDatabase" localSheetId="7" hidden="1">'01_JURIDICO'!$A$4:$AH$4</definedName>
    <definedName name="_xlnm._FilterDatabase" localSheetId="10" hidden="1">'04a_PROPUESTA_MO'!$A$8:$AD$8</definedName>
    <definedName name="_xlnm.Database" localSheetId="10">'04a_PROPUESTA_MO'!$A$4:$M$42</definedName>
    <definedName name="_xlnm.Database">'01_JURIDICO'!$A$2:$X$32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C6" i="37" l="1"/>
  <c r="BC8" i="37"/>
  <c r="BC9" i="37"/>
  <c r="BC10" i="37"/>
  <c r="BC11" i="37"/>
  <c r="BC12" i="37"/>
  <c r="BC13" i="37"/>
  <c r="AW15" i="53"/>
  <c r="AW14" i="53"/>
  <c r="AW13" i="53"/>
  <c r="AW12" i="53"/>
  <c r="AW11" i="53"/>
  <c r="AW10" i="53"/>
  <c r="AW9" i="53"/>
  <c r="AW8" i="53"/>
  <c r="AW7" i="53"/>
  <c r="AO7" i="53"/>
  <c r="AM7" i="53"/>
  <c r="E8" i="39" l="1"/>
  <c r="F8" i="39"/>
  <c r="G8" i="39"/>
  <c r="H8" i="39"/>
  <c r="E9" i="39"/>
  <c r="F9" i="39"/>
  <c r="G9" i="39"/>
  <c r="H9" i="39"/>
  <c r="E10" i="39"/>
  <c r="F10" i="39"/>
  <c r="G10" i="39"/>
  <c r="H10" i="39"/>
  <c r="E11" i="39"/>
  <c r="F11" i="39"/>
  <c r="G11" i="39"/>
  <c r="H11" i="39"/>
  <c r="E12" i="39"/>
  <c r="F12" i="39"/>
  <c r="G12" i="39"/>
  <c r="H12" i="39"/>
  <c r="E13" i="39"/>
  <c r="F13" i="39"/>
  <c r="G13" i="39"/>
  <c r="H13" i="39"/>
  <c r="E14" i="39"/>
  <c r="F14" i="39"/>
  <c r="G14" i="39"/>
  <c r="H14" i="39"/>
  <c r="E15" i="39"/>
  <c r="F15" i="39"/>
  <c r="G15" i="39"/>
  <c r="H15" i="39"/>
  <c r="E16" i="39"/>
  <c r="F16" i="39"/>
  <c r="G16" i="39"/>
  <c r="H16" i="39"/>
  <c r="U45" i="46"/>
  <c r="U44" i="46"/>
  <c r="U43" i="46"/>
  <c r="U42" i="46"/>
  <c r="U41" i="46"/>
  <c r="U40" i="46"/>
  <c r="U39" i="46"/>
  <c r="U38" i="46"/>
  <c r="S45" i="46"/>
  <c r="S44" i="46"/>
  <c r="S43" i="46"/>
  <c r="S42" i="46"/>
  <c r="S41" i="46"/>
  <c r="S40" i="46"/>
  <c r="S39" i="46"/>
  <c r="S38" i="46"/>
  <c r="G37" i="46"/>
  <c r="I37" i="46"/>
  <c r="K37" i="46"/>
  <c r="M37" i="46"/>
  <c r="O37" i="46"/>
  <c r="Q37" i="46"/>
  <c r="Q45" i="46"/>
  <c r="Q44" i="46"/>
  <c r="Q43" i="46"/>
  <c r="Q42" i="46"/>
  <c r="Q41" i="46"/>
  <c r="Q40" i="46"/>
  <c r="Q39" i="46"/>
  <c r="Q38" i="46"/>
  <c r="O45" i="46"/>
  <c r="O44" i="46"/>
  <c r="O43" i="46"/>
  <c r="O42" i="46"/>
  <c r="O41" i="46"/>
  <c r="O40" i="46"/>
  <c r="O39" i="46"/>
  <c r="O38" i="46"/>
  <c r="M45" i="46"/>
  <c r="M44" i="46"/>
  <c r="M43" i="46"/>
  <c r="M42" i="46"/>
  <c r="M41" i="46"/>
  <c r="M40" i="46"/>
  <c r="M39" i="46"/>
  <c r="M38" i="46"/>
  <c r="K45" i="46"/>
  <c r="K44" i="46"/>
  <c r="K43" i="46"/>
  <c r="K42" i="46"/>
  <c r="K41" i="46"/>
  <c r="K40" i="46"/>
  <c r="K39" i="46"/>
  <c r="K38" i="46"/>
  <c r="I45" i="46"/>
  <c r="I44" i="46"/>
  <c r="I43" i="46"/>
  <c r="I42" i="46"/>
  <c r="I41" i="46"/>
  <c r="I40" i="46"/>
  <c r="I39" i="46"/>
  <c r="I38" i="46"/>
  <c r="G45" i="46"/>
  <c r="G44" i="46"/>
  <c r="G43" i="46"/>
  <c r="G42" i="46"/>
  <c r="G41" i="46"/>
  <c r="G40" i="46"/>
  <c r="G39" i="46"/>
  <c r="G38" i="46"/>
  <c r="V62" i="46"/>
  <c r="V61" i="46"/>
  <c r="V60" i="46"/>
  <c r="V59" i="46"/>
  <c r="V58" i="46"/>
  <c r="V57" i="46"/>
  <c r="V56" i="46"/>
  <c r="V55" i="46"/>
  <c r="V54" i="46"/>
  <c r="V53" i="46"/>
  <c r="V52" i="46"/>
  <c r="V51" i="46"/>
  <c r="V50" i="46"/>
  <c r="V49" i="46"/>
  <c r="V48" i="46"/>
  <c r="T62" i="46"/>
  <c r="T61" i="46"/>
  <c r="T60" i="46"/>
  <c r="T59" i="46"/>
  <c r="T58" i="46"/>
  <c r="T57" i="46"/>
  <c r="T56" i="46"/>
  <c r="T55" i="46"/>
  <c r="T54" i="46"/>
  <c r="T53" i="46"/>
  <c r="T52" i="46"/>
  <c r="T51" i="46"/>
  <c r="T50" i="46"/>
  <c r="T49" i="46"/>
  <c r="T48" i="46"/>
  <c r="R62" i="46"/>
  <c r="R61" i="46"/>
  <c r="R60" i="46"/>
  <c r="R59" i="46"/>
  <c r="R58" i="46"/>
  <c r="R57" i="46"/>
  <c r="R56" i="46"/>
  <c r="R55" i="46"/>
  <c r="R54" i="46"/>
  <c r="R53" i="46"/>
  <c r="R52" i="46"/>
  <c r="R51" i="46"/>
  <c r="R50" i="46"/>
  <c r="R49" i="46"/>
  <c r="R48" i="46"/>
  <c r="P62" i="46"/>
  <c r="P61" i="46"/>
  <c r="P60" i="46"/>
  <c r="P59" i="46"/>
  <c r="P58" i="46"/>
  <c r="P57" i="46"/>
  <c r="P56" i="46"/>
  <c r="P55" i="46"/>
  <c r="P54" i="46"/>
  <c r="P53" i="46"/>
  <c r="P52" i="46"/>
  <c r="P51" i="46"/>
  <c r="P50" i="46"/>
  <c r="P49" i="46"/>
  <c r="P48" i="46"/>
  <c r="N62" i="46"/>
  <c r="N61" i="46"/>
  <c r="N60" i="46"/>
  <c r="N59" i="46"/>
  <c r="N58" i="46"/>
  <c r="N57" i="46"/>
  <c r="N56" i="46"/>
  <c r="N55" i="46"/>
  <c r="N54" i="46"/>
  <c r="N53" i="46"/>
  <c r="N52" i="46"/>
  <c r="N51" i="46"/>
  <c r="N50" i="46"/>
  <c r="N49" i="46"/>
  <c r="N48" i="46"/>
  <c r="E73" i="46"/>
  <c r="U73" i="46"/>
  <c r="U72" i="46"/>
  <c r="U71" i="46"/>
  <c r="U66" i="46"/>
  <c r="U65" i="46"/>
  <c r="U64" i="46"/>
  <c r="S73" i="46"/>
  <c r="S72" i="46"/>
  <c r="S66" i="46"/>
  <c r="S65" i="46"/>
  <c r="S64" i="46"/>
  <c r="Q73" i="46"/>
  <c r="Q72" i="46"/>
  <c r="Q71" i="46"/>
  <c r="Q66" i="46"/>
  <c r="Q65" i="46"/>
  <c r="Q64" i="46"/>
  <c r="O73" i="46"/>
  <c r="O72" i="46"/>
  <c r="O66" i="46"/>
  <c r="O65" i="46"/>
  <c r="O64" i="46"/>
  <c r="M73" i="46"/>
  <c r="M72" i="46"/>
  <c r="M71" i="46"/>
  <c r="M66" i="46"/>
  <c r="M65" i="46"/>
  <c r="M64" i="46"/>
  <c r="K73" i="46"/>
  <c r="K72" i="46"/>
  <c r="K71" i="46"/>
  <c r="K66" i="46"/>
  <c r="K65" i="46"/>
  <c r="K64" i="46"/>
  <c r="I65" i="46"/>
  <c r="I73" i="46"/>
  <c r="I72" i="46"/>
  <c r="I71" i="46"/>
  <c r="I66" i="46"/>
  <c r="I64" i="46"/>
  <c r="G73" i="46"/>
  <c r="G72" i="46"/>
  <c r="G66" i="46"/>
  <c r="G65" i="46"/>
  <c r="G64" i="46"/>
  <c r="B73" i="46"/>
  <c r="B72" i="46"/>
  <c r="B71" i="46"/>
  <c r="U62" i="46"/>
  <c r="U61" i="46"/>
  <c r="U60" i="46"/>
  <c r="U59" i="46"/>
  <c r="S62" i="46"/>
  <c r="S61" i="46"/>
  <c r="S60" i="46"/>
  <c r="S59" i="46"/>
  <c r="Q62" i="46"/>
  <c r="Q61" i="46"/>
  <c r="Q60" i="46"/>
  <c r="Q59" i="46"/>
  <c r="O62" i="46"/>
  <c r="O61" i="46"/>
  <c r="O60" i="46"/>
  <c r="O59" i="46"/>
  <c r="M62" i="46"/>
  <c r="M61" i="46"/>
  <c r="M60" i="46"/>
  <c r="M59" i="46"/>
  <c r="K62" i="46"/>
  <c r="K61" i="46"/>
  <c r="K60" i="46"/>
  <c r="K59" i="46"/>
  <c r="I62" i="46"/>
  <c r="I61" i="46"/>
  <c r="I60" i="46"/>
  <c r="I59" i="46"/>
  <c r="G62" i="46"/>
  <c r="G61" i="46"/>
  <c r="G60" i="46"/>
  <c r="G58" i="46"/>
  <c r="I58" i="46"/>
  <c r="K58" i="46"/>
  <c r="M58" i="46"/>
  <c r="O58" i="46"/>
  <c r="Q58" i="46"/>
  <c r="S58" i="46"/>
  <c r="U58" i="46"/>
  <c r="G59" i="46"/>
  <c r="B62" i="46"/>
  <c r="B61" i="46"/>
  <c r="B60" i="46"/>
  <c r="B59" i="46"/>
  <c r="F25" i="44"/>
  <c r="F24" i="44"/>
  <c r="F23" i="44"/>
  <c r="F22" i="44"/>
  <c r="F36" i="44"/>
  <c r="F35" i="44"/>
  <c r="F29" i="44"/>
  <c r="F28" i="44"/>
  <c r="E37" i="44"/>
  <c r="E36" i="44"/>
  <c r="E35" i="44"/>
  <c r="E29" i="44"/>
  <c r="E28" i="44"/>
  <c r="E27" i="44"/>
  <c r="E25" i="44"/>
  <c r="E24" i="44"/>
  <c r="E23" i="44"/>
  <c r="E22" i="44"/>
  <c r="AE4" i="56"/>
  <c r="AF4" i="56"/>
  <c r="AG4" i="56"/>
  <c r="AH4" i="56"/>
  <c r="AI4" i="56"/>
  <c r="AJ4" i="56"/>
  <c r="AK4" i="56"/>
  <c r="AL4" i="56"/>
  <c r="BO16" i="56"/>
  <c r="BO14" i="56"/>
  <c r="BO12" i="56"/>
  <c r="BO11" i="56"/>
  <c r="BO10" i="56"/>
  <c r="U37" i="46" l="1"/>
  <c r="S37" i="46"/>
  <c r="E72" i="46"/>
  <c r="O13" i="58"/>
  <c r="R12" i="58"/>
  <c r="BP15" i="56" s="1"/>
  <c r="R11" i="58"/>
  <c r="BP14" i="56" s="1"/>
  <c r="R10" i="58"/>
  <c r="BP13" i="56" s="1"/>
  <c r="R9" i="58"/>
  <c r="BP12" i="56" s="1"/>
  <c r="R8" i="58"/>
  <c r="BP11" i="56" s="1"/>
  <c r="R7" i="58"/>
  <c r="BP10" i="56" s="1"/>
  <c r="W6" i="58"/>
  <c r="X6" i="58" s="1"/>
  <c r="Y6" i="58" s="1"/>
  <c r="K3" i="58"/>
  <c r="Z3" i="58" s="1"/>
  <c r="AW7" i="37"/>
  <c r="R3" i="58" l="1"/>
  <c r="P5" i="28"/>
  <c r="B58" i="46"/>
  <c r="B75" i="46"/>
  <c r="B76" i="46"/>
  <c r="B70" i="46" l="1"/>
  <c r="B69" i="46"/>
  <c r="B68" i="46"/>
  <c r="B67" i="46"/>
  <c r="B66" i="46"/>
  <c r="B65" i="46"/>
  <c r="B64" i="46"/>
  <c r="C51" i="44"/>
  <c r="C50" i="44"/>
  <c r="CO16" i="56"/>
  <c r="CO15" i="56"/>
  <c r="CO14" i="56"/>
  <c r="CO13" i="56"/>
  <c r="CO12" i="56"/>
  <c r="CO11" i="56"/>
  <c r="CO10" i="56"/>
  <c r="CO9" i="56"/>
  <c r="BD6" i="56"/>
  <c r="BB6" i="56"/>
  <c r="K11" i="47"/>
  <c r="AQ4" i="37"/>
  <c r="AK16" i="56" l="1"/>
  <c r="M4" i="56"/>
  <c r="X4" i="56" s="1"/>
  <c r="AY4" i="56" s="1"/>
  <c r="CC4" i="56" s="1"/>
  <c r="L4" i="56"/>
  <c r="W4" i="56" s="1"/>
  <c r="AX4" i="56" s="1"/>
  <c r="CB4" i="56" s="1"/>
  <c r="AK9" i="56"/>
  <c r="AA3" i="56"/>
  <c r="E7" i="40" l="1"/>
  <c r="C7" i="40" s="1"/>
  <c r="BP4" i="37"/>
  <c r="AD7" i="28"/>
  <c r="U4" i="51" l="1"/>
  <c r="U3" i="56"/>
  <c r="I4" i="53"/>
  <c r="F1" i="53"/>
  <c r="N5" i="51"/>
  <c r="Y5" i="51" s="1"/>
  <c r="M5" i="51"/>
  <c r="X5" i="51" s="1"/>
  <c r="AA4" i="51"/>
  <c r="BM2" i="37"/>
  <c r="N4" i="56" s="1"/>
  <c r="Y4" i="56" s="1"/>
  <c r="AZ4" i="56" s="1"/>
  <c r="CD4" i="56" s="1"/>
  <c r="BN4" i="37"/>
  <c r="C34" i="40" l="1"/>
  <c r="M80" i="30"/>
  <c r="M71" i="30"/>
  <c r="M53" i="30"/>
  <c r="M44" i="30"/>
  <c r="M62" i="30"/>
  <c r="M35" i="30"/>
  <c r="M26" i="30"/>
  <c r="M17" i="30"/>
  <c r="N8" i="32"/>
  <c r="L8" i="32"/>
  <c r="Z13" i="47" l="1"/>
  <c r="Z15" i="47"/>
  <c r="Z12" i="47"/>
  <c r="X12" i="47"/>
  <c r="X15" i="47"/>
  <c r="V12" i="47"/>
  <c r="V15" i="47"/>
  <c r="T12" i="47"/>
  <c r="T15" i="47"/>
  <c r="R12" i="47"/>
  <c r="R15" i="47"/>
  <c r="P15" i="47"/>
  <c r="P12" i="47"/>
  <c r="N15" i="47"/>
  <c r="N12" i="47"/>
  <c r="L16" i="47"/>
  <c r="L15" i="47"/>
  <c r="L13" i="47"/>
  <c r="L12" i="47"/>
  <c r="H12" i="47" s="1"/>
  <c r="G10" i="47"/>
  <c r="G9" i="47"/>
  <c r="G8" i="47"/>
  <c r="G7" i="47"/>
  <c r="G6" i="47"/>
  <c r="G5" i="47"/>
  <c r="Y14" i="47"/>
  <c r="Z14" i="47" s="1"/>
  <c r="K14" i="47"/>
  <c r="B14" i="47"/>
  <c r="B11" i="47"/>
  <c r="B10" i="47"/>
  <c r="B9" i="47"/>
  <c r="B8" i="47"/>
  <c r="B7" i="47"/>
  <c r="B6" i="47"/>
  <c r="B5" i="47"/>
  <c r="BF4" i="37"/>
  <c r="BB4" i="37"/>
  <c r="BD4" i="37"/>
  <c r="AZ4" i="37"/>
  <c r="H4" i="37"/>
  <c r="AD4" i="37"/>
  <c r="C49" i="44" s="1"/>
  <c r="C47" i="44"/>
  <c r="M31" i="1"/>
  <c r="N31" i="1"/>
  <c r="Z31" i="1"/>
  <c r="AA31" i="1"/>
  <c r="AB31" i="1"/>
  <c r="AC31" i="1" s="1"/>
  <c r="AD31" i="1" s="1"/>
  <c r="AE31" i="1" s="1"/>
  <c r="M29" i="1"/>
  <c r="N29" i="1"/>
  <c r="AB29" i="1" s="1"/>
  <c r="AC29" i="1" s="1"/>
  <c r="AD29" i="1" s="1"/>
  <c r="AE29" i="1" s="1"/>
  <c r="Z29" i="1"/>
  <c r="AA29" i="1"/>
  <c r="B47" i="46"/>
  <c r="B37" i="46"/>
  <c r="E19" i="46"/>
  <c r="E17" i="46"/>
  <c r="E16" i="46" s="1"/>
  <c r="E15" i="46"/>
  <c r="E8" i="46"/>
  <c r="E5" i="46"/>
  <c r="B51" i="44"/>
  <c r="B50" i="44"/>
  <c r="B15" i="44"/>
  <c r="B14" i="44"/>
  <c r="B13" i="44"/>
  <c r="B12" i="44"/>
  <c r="M77" i="30"/>
  <c r="M76" i="30"/>
  <c r="M75" i="30"/>
  <c r="M74" i="30"/>
  <c r="M73" i="30"/>
  <c r="M70" i="30"/>
  <c r="M69" i="30"/>
  <c r="M68" i="30"/>
  <c r="M67" i="30"/>
  <c r="M66" i="30"/>
  <c r="M65" i="30"/>
  <c r="M64" i="30"/>
  <c r="M61" i="30"/>
  <c r="M60" i="30"/>
  <c r="M59" i="30"/>
  <c r="M58" i="30"/>
  <c r="M57" i="30"/>
  <c r="M56" i="30"/>
  <c r="M55" i="30"/>
  <c r="M52" i="30"/>
  <c r="M51" i="30"/>
  <c r="M50" i="30"/>
  <c r="M49" i="30"/>
  <c r="M48" i="30"/>
  <c r="M47" i="30"/>
  <c r="M46" i="30"/>
  <c r="M43" i="30"/>
  <c r="M42" i="30"/>
  <c r="M41" i="30"/>
  <c r="M40" i="30"/>
  <c r="M39" i="30"/>
  <c r="M38" i="30"/>
  <c r="M34" i="30"/>
  <c r="M33" i="30"/>
  <c r="M32" i="30"/>
  <c r="M31" i="30"/>
  <c r="M30" i="30"/>
  <c r="M29" i="30"/>
  <c r="M28" i="30"/>
  <c r="M25" i="30"/>
  <c r="M24" i="30"/>
  <c r="M23" i="30"/>
  <c r="M22" i="30"/>
  <c r="M21" i="30"/>
  <c r="M20" i="30"/>
  <c r="M19" i="30"/>
  <c r="M16" i="30"/>
  <c r="M15" i="30"/>
  <c r="M14" i="30"/>
  <c r="M13" i="30"/>
  <c r="M12" i="30"/>
  <c r="M11" i="30"/>
  <c r="M10" i="30"/>
  <c r="BF72" i="30"/>
  <c r="BE72" i="30"/>
  <c r="BD72" i="30"/>
  <c r="BC72" i="30"/>
  <c r="BB72" i="30"/>
  <c r="BA72" i="30"/>
  <c r="AZ72" i="30"/>
  <c r="BF63" i="30"/>
  <c r="BE63" i="30"/>
  <c r="BD63" i="30"/>
  <c r="BC63" i="30"/>
  <c r="BB63" i="30"/>
  <c r="BA63" i="30"/>
  <c r="AZ63" i="30"/>
  <c r="BF54" i="30"/>
  <c r="BE54" i="30"/>
  <c r="BD54" i="30"/>
  <c r="BC54" i="30"/>
  <c r="BB54" i="30"/>
  <c r="BA54" i="30"/>
  <c r="AZ54" i="30"/>
  <c r="BF45" i="30"/>
  <c r="BE45" i="30"/>
  <c r="BD45" i="30"/>
  <c r="BC45" i="30"/>
  <c r="BB45" i="30"/>
  <c r="BA45" i="30"/>
  <c r="AZ45" i="30"/>
  <c r="BF36" i="30"/>
  <c r="BE36" i="30"/>
  <c r="BD36" i="30"/>
  <c r="BC36" i="30"/>
  <c r="BB36" i="30"/>
  <c r="BA36" i="30"/>
  <c r="AZ36" i="30"/>
  <c r="BF27" i="30"/>
  <c r="BE27" i="30"/>
  <c r="BD27" i="30"/>
  <c r="BC27" i="30"/>
  <c r="BB27" i="30"/>
  <c r="BA27" i="30"/>
  <c r="AZ27" i="30"/>
  <c r="BF18" i="30"/>
  <c r="BE18" i="30"/>
  <c r="BD18" i="30"/>
  <c r="BC18" i="30"/>
  <c r="BB18" i="30"/>
  <c r="BA18" i="30"/>
  <c r="AZ18" i="30"/>
  <c r="BF9" i="30"/>
  <c r="BE9" i="30"/>
  <c r="BD9" i="30"/>
  <c r="BC9" i="30"/>
  <c r="BB9" i="30"/>
  <c r="BA9" i="30"/>
  <c r="AZ9" i="30"/>
  <c r="L14" i="47" l="1"/>
  <c r="H15" i="47"/>
  <c r="Y16" i="47"/>
  <c r="Z16" i="47" s="1"/>
  <c r="AF31" i="1"/>
  <c r="AG31" i="1" s="1"/>
  <c r="AK31" i="1"/>
  <c r="AL31" i="1" s="1"/>
  <c r="AF29" i="1"/>
  <c r="AG29" i="1" s="1"/>
  <c r="AK29" i="1"/>
  <c r="AL29" i="1" s="1"/>
  <c r="E14" i="46"/>
  <c r="C4" i="43" l="1"/>
  <c r="BK7" i="41" l="1"/>
  <c r="AB7" i="28"/>
  <c r="E15" i="7"/>
  <c r="E20" i="7"/>
  <c r="E19" i="7"/>
  <c r="E18" i="7"/>
  <c r="E17" i="7"/>
  <c r="E16" i="7"/>
  <c r="C36" i="23"/>
  <c r="C35" i="23"/>
  <c r="C34" i="23"/>
  <c r="C33" i="23"/>
  <c r="C32" i="23"/>
  <c r="C31" i="23"/>
  <c r="C30" i="23"/>
  <c r="C29" i="23"/>
  <c r="C28" i="23"/>
  <c r="C27" i="23"/>
  <c r="C26" i="23"/>
  <c r="C25" i="23"/>
  <c r="C24" i="23"/>
  <c r="C23" i="23"/>
  <c r="C22" i="23"/>
  <c r="C21" i="23"/>
  <c r="C20" i="23"/>
  <c r="C19" i="23"/>
  <c r="C18" i="23"/>
  <c r="C17" i="23"/>
  <c r="C16" i="23"/>
  <c r="C15" i="23"/>
  <c r="C14" i="23"/>
  <c r="C13" i="23"/>
  <c r="C12" i="23"/>
  <c r="C11" i="23"/>
  <c r="C10" i="23"/>
  <c r="C9" i="23"/>
  <c r="C8" i="23"/>
  <c r="C7" i="23"/>
  <c r="C6" i="23"/>
  <c r="AC5" i="14"/>
  <c r="E8" i="40"/>
  <c r="C8" i="40" s="1"/>
  <c r="E9" i="40"/>
  <c r="C9" i="40" s="1"/>
  <c r="E6" i="40"/>
  <c r="C6" i="40" s="1"/>
  <c r="E5" i="40"/>
  <c r="E4" i="40"/>
  <c r="R3" i="56" s="1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S3" i="56" l="1"/>
  <c r="C5" i="40"/>
  <c r="T3" i="56"/>
  <c r="T4" i="51"/>
  <c r="V4" i="41"/>
  <c r="Y3" i="56"/>
  <c r="W4" i="51"/>
  <c r="V3" i="56"/>
  <c r="V4" i="51"/>
  <c r="S4" i="51"/>
  <c r="R4" i="51"/>
  <c r="CF4" i="41"/>
  <c r="BY5" i="41" l="1"/>
  <c r="S5" i="28"/>
  <c r="R5" i="28"/>
  <c r="O5" i="28"/>
  <c r="L5" i="28"/>
  <c r="M5" i="28"/>
  <c r="BB4" i="41"/>
  <c r="AX4" i="41"/>
  <c r="AY5" i="41"/>
  <c r="AM5" i="41"/>
  <c r="AX5" i="41" s="1"/>
  <c r="Z4" i="41"/>
  <c r="I36" i="32"/>
  <c r="E36" i="32"/>
  <c r="U4" i="41"/>
  <c r="T4" i="41"/>
  <c r="S4" i="41"/>
  <c r="R4" i="41"/>
  <c r="Q4" i="41"/>
  <c r="G39" i="32"/>
  <c r="G38" i="32"/>
  <c r="G37" i="32"/>
  <c r="M5" i="41"/>
  <c r="B55" i="46" s="1"/>
  <c r="L5" i="41"/>
  <c r="B54" i="46" s="1"/>
  <c r="X5" i="41" l="1"/>
  <c r="B44" i="46"/>
  <c r="W5" i="41"/>
  <c r="B43" i="46"/>
  <c r="G36" i="32"/>
  <c r="BW5" i="41"/>
  <c r="BX5" i="41"/>
  <c r="AK5" i="41"/>
  <c r="AV5" i="41" s="1"/>
  <c r="AL5" i="41"/>
  <c r="AW5" i="41" s="1"/>
  <c r="AM4" i="37" l="1"/>
  <c r="Z4" i="37"/>
  <c r="C48" i="44" s="1"/>
  <c r="R4" i="37"/>
  <c r="C46" i="44" s="1"/>
  <c r="N4" i="37"/>
  <c r="C45" i="44" s="1"/>
  <c r="J4" i="37"/>
  <c r="C44" i="44" s="1"/>
  <c r="AB4" i="37"/>
  <c r="AO4" i="37"/>
  <c r="AK4" i="37"/>
  <c r="X4" i="37"/>
  <c r="T4" i="37"/>
  <c r="P4" i="37"/>
  <c r="C4" i="40"/>
  <c r="AU4" i="41" l="1"/>
  <c r="AZ6" i="56"/>
  <c r="C20" i="40"/>
  <c r="BC6" i="56" s="1"/>
  <c r="AP4" i="41"/>
  <c r="AS6" i="56"/>
  <c r="AQ4" i="41"/>
  <c r="AT6" i="56"/>
  <c r="AR4" i="41"/>
  <c r="AU6" i="56"/>
  <c r="AS4" i="41"/>
  <c r="AV6" i="56"/>
  <c r="AT4" i="41"/>
  <c r="AW6" i="56"/>
  <c r="I28" i="32"/>
  <c r="E28" i="32"/>
  <c r="G33" i="32"/>
  <c r="G32" i="32"/>
  <c r="G31" i="32"/>
  <c r="G30" i="32"/>
  <c r="G29" i="32"/>
  <c r="G23" i="32"/>
  <c r="G27" i="32"/>
  <c r="G26" i="32"/>
  <c r="G25" i="32"/>
  <c r="I18" i="32"/>
  <c r="E18" i="32"/>
  <c r="G22" i="32"/>
  <c r="G21" i="32"/>
  <c r="G20" i="32"/>
  <c r="G19" i="32"/>
  <c r="AA8" i="39"/>
  <c r="AK5" i="39"/>
  <c r="AI5" i="39"/>
  <c r="AE5" i="39"/>
  <c r="AC5" i="39"/>
  <c r="Y5" i="39"/>
  <c r="W5" i="39"/>
  <c r="AD3" i="39"/>
  <c r="AB3" i="39"/>
  <c r="Z3" i="39"/>
  <c r="X3" i="39"/>
  <c r="V3" i="39"/>
  <c r="R6" i="37"/>
  <c r="E46" i="44" s="1"/>
  <c r="G28" i="32" l="1"/>
  <c r="G18" i="32"/>
  <c r="I15" i="32" l="1"/>
  <c r="I13" i="32" s="1"/>
  <c r="AA2" i="37"/>
  <c r="W2" i="37"/>
  <c r="K4" i="56" s="1"/>
  <c r="V4" i="56" s="1"/>
  <c r="AW4" i="56" s="1"/>
  <c r="CA4" i="56" s="1"/>
  <c r="S2" i="37"/>
  <c r="J4" i="56" s="1"/>
  <c r="U4" i="56" s="1"/>
  <c r="AV4" i="56" s="1"/>
  <c r="BZ4" i="56" s="1"/>
  <c r="O2" i="37"/>
  <c r="I4" i="56" s="1"/>
  <c r="T4" i="56" s="1"/>
  <c r="AU4" i="56" s="1"/>
  <c r="BY4" i="56" s="1"/>
  <c r="K2" i="37"/>
  <c r="H4" i="56" s="1"/>
  <c r="S4" i="56" s="1"/>
  <c r="AT4" i="56" s="1"/>
  <c r="BX4" i="56" s="1"/>
  <c r="G2" i="37"/>
  <c r="G4" i="56" s="1"/>
  <c r="R4" i="56" s="1"/>
  <c r="AS4" i="56" s="1"/>
  <c r="BW4" i="56" s="1"/>
  <c r="AG42" i="14"/>
  <c r="AG41" i="14"/>
  <c r="AG40" i="14"/>
  <c r="AG39" i="14"/>
  <c r="AG38" i="14"/>
  <c r="AG37" i="14"/>
  <c r="AG36" i="14"/>
  <c r="AG35" i="14"/>
  <c r="AG34" i="14"/>
  <c r="AG33" i="14"/>
  <c r="AG32" i="14"/>
  <c r="AG31" i="14"/>
  <c r="AG30" i="14"/>
  <c r="AG29" i="14"/>
  <c r="AG28" i="14"/>
  <c r="AG27" i="14"/>
  <c r="AG26" i="14"/>
  <c r="AG25" i="14"/>
  <c r="AG24" i="14"/>
  <c r="AG23" i="14"/>
  <c r="AG22" i="14"/>
  <c r="AG21" i="14"/>
  <c r="AG20" i="14"/>
  <c r="AG19" i="14"/>
  <c r="AG18" i="14"/>
  <c r="AG17" i="14"/>
  <c r="AG16" i="14"/>
  <c r="AG15" i="14"/>
  <c r="AG14" i="14"/>
  <c r="AG13" i="14"/>
  <c r="AG12" i="14"/>
  <c r="AG11" i="14"/>
  <c r="AG10" i="14"/>
  <c r="AG9" i="14"/>
  <c r="H14" i="34"/>
  <c r="H13" i="34"/>
  <c r="H12" i="34"/>
  <c r="L79" i="35"/>
  <c r="L78" i="35"/>
  <c r="L77" i="35"/>
  <c r="L76" i="35"/>
  <c r="L75" i="35"/>
  <c r="L74" i="35"/>
  <c r="L73" i="35"/>
  <c r="B72" i="35"/>
  <c r="L70" i="35"/>
  <c r="L69" i="35"/>
  <c r="L68" i="35"/>
  <c r="L67" i="35"/>
  <c r="L66" i="35"/>
  <c r="L65" i="35"/>
  <c r="L64" i="35"/>
  <c r="B63" i="35"/>
  <c r="L61" i="35"/>
  <c r="L60" i="35"/>
  <c r="L59" i="35"/>
  <c r="L58" i="35"/>
  <c r="L57" i="35"/>
  <c r="L56" i="35"/>
  <c r="L55" i="35"/>
  <c r="B54" i="35"/>
  <c r="L52" i="35"/>
  <c r="L51" i="35"/>
  <c r="L50" i="35"/>
  <c r="L49" i="35"/>
  <c r="L48" i="35"/>
  <c r="L47" i="35"/>
  <c r="L46" i="35"/>
  <c r="B45" i="35"/>
  <c r="L43" i="35"/>
  <c r="L42" i="35"/>
  <c r="L41" i="35"/>
  <c r="L40" i="35"/>
  <c r="L39" i="35"/>
  <c r="L38" i="35"/>
  <c r="L37" i="35"/>
  <c r="B36" i="35"/>
  <c r="L34" i="35"/>
  <c r="L33" i="35"/>
  <c r="L32" i="35"/>
  <c r="L31" i="35"/>
  <c r="L30" i="35"/>
  <c r="L29" i="35"/>
  <c r="L28" i="35"/>
  <c r="B27" i="35"/>
  <c r="L25" i="35"/>
  <c r="L24" i="35"/>
  <c r="L23" i="35"/>
  <c r="L22" i="35"/>
  <c r="L21" i="35"/>
  <c r="L20" i="35"/>
  <c r="L19" i="35"/>
  <c r="B18" i="35"/>
  <c r="L16" i="35"/>
  <c r="L15" i="35"/>
  <c r="L14" i="35"/>
  <c r="L13" i="35"/>
  <c r="L12" i="35"/>
  <c r="L11" i="35"/>
  <c r="L10" i="35"/>
  <c r="B9" i="35"/>
  <c r="B4" i="33"/>
  <c r="I14" i="34" l="1"/>
  <c r="I18" i="34" s="1"/>
  <c r="I13" i="34"/>
  <c r="I17" i="34" s="1"/>
  <c r="I16" i="34" s="1"/>
  <c r="H5" i="51"/>
  <c r="S5" i="51" s="1"/>
  <c r="I5" i="51"/>
  <c r="T5" i="51" s="1"/>
  <c r="G5" i="51"/>
  <c r="R5" i="51" s="1"/>
  <c r="J5" i="51"/>
  <c r="U5" i="51" s="1"/>
  <c r="K5" i="51"/>
  <c r="V5" i="51" s="1"/>
  <c r="B49" i="44"/>
  <c r="L5" i="51"/>
  <c r="W5" i="51" s="1"/>
  <c r="I5" i="41"/>
  <c r="B47" i="44"/>
  <c r="H5" i="41"/>
  <c r="B46" i="44"/>
  <c r="F5" i="41"/>
  <c r="B44" i="44"/>
  <c r="G5" i="41"/>
  <c r="B45" i="44"/>
  <c r="J5" i="41"/>
  <c r="B48" i="44"/>
  <c r="AF3" i="39"/>
  <c r="K5" i="41"/>
  <c r="G13" i="32"/>
  <c r="Q13" i="32"/>
  <c r="E10" i="40" s="1"/>
  <c r="C10" i="40" s="1"/>
  <c r="I14" i="32"/>
  <c r="Q14" i="32" s="1"/>
  <c r="E11" i="40" s="1"/>
  <c r="C11" i="40" s="1"/>
  <c r="B7" i="35"/>
  <c r="I12" i="34" l="1"/>
  <c r="B38" i="46"/>
  <c r="B49" i="46"/>
  <c r="B41" i="46"/>
  <c r="B52" i="46"/>
  <c r="B42" i="46"/>
  <c r="B53" i="46"/>
  <c r="B40" i="46"/>
  <c r="B51" i="46"/>
  <c r="B45" i="46"/>
  <c r="B56" i="46"/>
  <c r="B39" i="46"/>
  <c r="B50" i="46"/>
  <c r="X3" i="56"/>
  <c r="Y4" i="51"/>
  <c r="W3" i="56"/>
  <c r="X4" i="51"/>
  <c r="G14" i="32"/>
  <c r="X4" i="41"/>
  <c r="W4" i="41"/>
  <c r="BR5" i="41"/>
  <c r="R5" i="41"/>
  <c r="BQ5" i="41"/>
  <c r="S5" i="41"/>
  <c r="AI5" i="41"/>
  <c r="AT5" i="41" s="1"/>
  <c r="AH5" i="41"/>
  <c r="AS5" i="41" s="1"/>
  <c r="T5" i="41"/>
  <c r="AF5" i="41"/>
  <c r="AQ5" i="41" s="1"/>
  <c r="U5" i="41"/>
  <c r="Q5" i="41"/>
  <c r="BT5" i="41"/>
  <c r="AG5" i="41"/>
  <c r="AR5" i="41" s="1"/>
  <c r="BS5" i="41"/>
  <c r="BU5" i="41"/>
  <c r="AE5" i="41"/>
  <c r="AP5" i="41" s="1"/>
  <c r="V5" i="41"/>
  <c r="AJ5" i="41"/>
  <c r="AU5" i="41" s="1"/>
  <c r="BV5" i="41"/>
  <c r="AW4" i="41" l="1"/>
  <c r="AY6" i="56"/>
  <c r="AV4" i="41"/>
  <c r="AV15" i="41" s="1"/>
  <c r="AX6" i="56"/>
  <c r="AW8" i="41"/>
  <c r="AW15" i="41"/>
  <c r="AY72" i="30"/>
  <c r="AX72" i="30"/>
  <c r="AW72" i="30"/>
  <c r="AV72" i="30"/>
  <c r="AU72" i="30"/>
  <c r="AT72" i="30"/>
  <c r="AS72" i="30"/>
  <c r="AY63" i="30"/>
  <c r="AX63" i="30"/>
  <c r="AW63" i="30"/>
  <c r="AV63" i="30"/>
  <c r="AU63" i="30"/>
  <c r="AT63" i="30"/>
  <c r="AS63" i="30"/>
  <c r="AY54" i="30"/>
  <c r="AX54" i="30"/>
  <c r="AW54" i="30"/>
  <c r="AV54" i="30"/>
  <c r="AU54" i="30"/>
  <c r="AT54" i="30"/>
  <c r="AS54" i="30"/>
  <c r="AY45" i="30"/>
  <c r="AX45" i="30"/>
  <c r="AW45" i="30"/>
  <c r="AV45" i="30"/>
  <c r="AU45" i="30"/>
  <c r="AT45" i="30"/>
  <c r="AS45" i="30"/>
  <c r="AY36" i="30"/>
  <c r="AX36" i="30"/>
  <c r="AW36" i="30"/>
  <c r="AV36" i="30"/>
  <c r="AU36" i="30"/>
  <c r="AT36" i="30"/>
  <c r="AS36" i="30"/>
  <c r="AY27" i="30"/>
  <c r="AX27" i="30"/>
  <c r="AW27" i="30"/>
  <c r="AV27" i="30"/>
  <c r="AU27" i="30"/>
  <c r="AT27" i="30"/>
  <c r="AS27" i="30"/>
  <c r="AY9" i="30"/>
  <c r="AX9" i="30"/>
  <c r="AW9" i="30"/>
  <c r="AV9" i="30"/>
  <c r="AU9" i="30"/>
  <c r="AT9" i="30"/>
  <c r="AS9" i="30"/>
  <c r="AY18" i="30"/>
  <c r="AX18" i="30"/>
  <c r="AW18" i="30"/>
  <c r="AV18" i="30"/>
  <c r="AU18" i="30"/>
  <c r="AT18" i="30"/>
  <c r="AS18" i="30"/>
  <c r="AR79" i="30"/>
  <c r="AQ79" i="30" s="1"/>
  <c r="AP79" i="30" s="1"/>
  <c r="AO79" i="30" s="1"/>
  <c r="AN79" i="30" s="1"/>
  <c r="AM79" i="30" s="1"/>
  <c r="AL79" i="30" s="1"/>
  <c r="AK79" i="30" s="1"/>
  <c r="AJ79" i="30" s="1"/>
  <c r="AI79" i="30" s="1"/>
  <c r="AH79" i="30" s="1"/>
  <c r="AG79" i="30" s="1"/>
  <c r="AF79" i="30" s="1"/>
  <c r="AE79" i="30" s="1"/>
  <c r="AD79" i="30" s="1"/>
  <c r="AC79" i="30" s="1"/>
  <c r="AB79" i="30" s="1"/>
  <c r="AA79" i="30" s="1"/>
  <c r="Z79" i="30" s="1"/>
  <c r="Y79" i="30" s="1"/>
  <c r="X79" i="30" s="1"/>
  <c r="W79" i="30" s="1"/>
  <c r="V79" i="30" s="1"/>
  <c r="U79" i="30" s="1"/>
  <c r="T79" i="30" s="1"/>
  <c r="S79" i="30" s="1"/>
  <c r="R79" i="30" s="1"/>
  <c r="Q79" i="30" s="1"/>
  <c r="P79" i="30" s="1"/>
  <c r="O79" i="30" s="1"/>
  <c r="N79" i="30" s="1"/>
  <c r="M79" i="30" s="1"/>
  <c r="AR78" i="30"/>
  <c r="AQ78" i="30" s="1"/>
  <c r="AR54" i="30"/>
  <c r="AQ54" i="30"/>
  <c r="AP54" i="30"/>
  <c r="AO54" i="30"/>
  <c r="AN54" i="30"/>
  <c r="AM54" i="30"/>
  <c r="AL54" i="30"/>
  <c r="AK54" i="30"/>
  <c r="AJ54" i="30"/>
  <c r="AI54" i="30"/>
  <c r="AH54" i="30"/>
  <c r="AG54" i="30"/>
  <c r="AF54" i="30"/>
  <c r="AE54" i="30"/>
  <c r="AD54" i="30"/>
  <c r="AC54" i="30"/>
  <c r="AB54" i="30"/>
  <c r="AA54" i="30"/>
  <c r="Z54" i="30"/>
  <c r="Y54" i="30"/>
  <c r="X54" i="30"/>
  <c r="W54" i="30"/>
  <c r="V54" i="30"/>
  <c r="U54" i="30"/>
  <c r="T54" i="30"/>
  <c r="S54" i="30"/>
  <c r="R54" i="30"/>
  <c r="Q54" i="30"/>
  <c r="P54" i="30"/>
  <c r="O54" i="30"/>
  <c r="N54" i="30"/>
  <c r="AR63" i="30"/>
  <c r="AQ63" i="30"/>
  <c r="AP63" i="30"/>
  <c r="AO63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AR45" i="30"/>
  <c r="AQ45" i="30"/>
  <c r="AP45" i="30"/>
  <c r="AO45" i="30"/>
  <c r="AN45" i="30"/>
  <c r="AM45" i="30"/>
  <c r="AL45" i="30"/>
  <c r="AK45" i="30"/>
  <c r="AJ45" i="30"/>
  <c r="AI45" i="30"/>
  <c r="AH45" i="30"/>
  <c r="AG45" i="30"/>
  <c r="AF45" i="30"/>
  <c r="AE45" i="30"/>
  <c r="AD45" i="30"/>
  <c r="AC45" i="30"/>
  <c r="AB45" i="30"/>
  <c r="AA45" i="30"/>
  <c r="Z45" i="30"/>
  <c r="Y45" i="30"/>
  <c r="X45" i="30"/>
  <c r="W45" i="30"/>
  <c r="V45" i="30"/>
  <c r="U45" i="30"/>
  <c r="T45" i="30"/>
  <c r="S45" i="30"/>
  <c r="R45" i="30"/>
  <c r="Q45" i="30"/>
  <c r="P45" i="30"/>
  <c r="O45" i="30"/>
  <c r="N45" i="30"/>
  <c r="AR36" i="30"/>
  <c r="AQ36" i="30"/>
  <c r="AP36" i="30"/>
  <c r="AO36" i="30"/>
  <c r="AN36" i="30"/>
  <c r="AM36" i="30"/>
  <c r="AL36" i="30"/>
  <c r="AK36" i="30"/>
  <c r="AJ36" i="30"/>
  <c r="AI36" i="30"/>
  <c r="AH36" i="30"/>
  <c r="AG36" i="30"/>
  <c r="AF36" i="30"/>
  <c r="AE36" i="30"/>
  <c r="AD36" i="30"/>
  <c r="AC36" i="30"/>
  <c r="AB36" i="30"/>
  <c r="AA36" i="30"/>
  <c r="Z36" i="30"/>
  <c r="Y36" i="30"/>
  <c r="X36" i="30"/>
  <c r="W36" i="30"/>
  <c r="V36" i="30"/>
  <c r="U36" i="30"/>
  <c r="T36" i="30"/>
  <c r="S36" i="30"/>
  <c r="R36" i="30"/>
  <c r="Q36" i="30"/>
  <c r="P36" i="30"/>
  <c r="O36" i="30"/>
  <c r="N37" i="30"/>
  <c r="AR27" i="30"/>
  <c r="AQ27" i="30"/>
  <c r="AP27" i="30"/>
  <c r="AO27" i="30"/>
  <c r="AN27" i="30"/>
  <c r="AM27" i="30"/>
  <c r="AL27" i="30"/>
  <c r="AK27" i="30"/>
  <c r="AJ27" i="30"/>
  <c r="AI27" i="30"/>
  <c r="AH27" i="30"/>
  <c r="AG27" i="30"/>
  <c r="AF27" i="30"/>
  <c r="AE27" i="30"/>
  <c r="AD27" i="30"/>
  <c r="AC27" i="30"/>
  <c r="AB27" i="30"/>
  <c r="AA27" i="30"/>
  <c r="Z27" i="30"/>
  <c r="Y27" i="30"/>
  <c r="X27" i="30"/>
  <c r="W27" i="30"/>
  <c r="V27" i="30"/>
  <c r="U27" i="30"/>
  <c r="T27" i="30"/>
  <c r="S27" i="30"/>
  <c r="R27" i="30"/>
  <c r="Q27" i="30"/>
  <c r="P27" i="30"/>
  <c r="O27" i="30"/>
  <c r="N27" i="30"/>
  <c r="AR18" i="30"/>
  <c r="AQ18" i="30"/>
  <c r="AP18" i="30"/>
  <c r="AO18" i="30"/>
  <c r="AN18" i="30"/>
  <c r="AM18" i="30"/>
  <c r="AL18" i="30"/>
  <c r="AK18" i="30"/>
  <c r="AJ18" i="30"/>
  <c r="AI18" i="30"/>
  <c r="AH18" i="30"/>
  <c r="AG18" i="30"/>
  <c r="AF18" i="30"/>
  <c r="AE18" i="30"/>
  <c r="AD18" i="30"/>
  <c r="AC18" i="30"/>
  <c r="AB18" i="30"/>
  <c r="AA18" i="30"/>
  <c r="Z18" i="30"/>
  <c r="Y18" i="30"/>
  <c r="X18" i="30"/>
  <c r="W18" i="30"/>
  <c r="V18" i="30"/>
  <c r="U18" i="30"/>
  <c r="T18" i="30"/>
  <c r="S18" i="30"/>
  <c r="R18" i="30"/>
  <c r="Q18" i="30"/>
  <c r="P18" i="30"/>
  <c r="O18" i="30"/>
  <c r="N18" i="30"/>
  <c r="AR9" i="30"/>
  <c r="AQ9" i="30"/>
  <c r="AP9" i="30"/>
  <c r="AO9" i="30"/>
  <c r="AN9" i="30"/>
  <c r="AM9" i="30"/>
  <c r="AL9" i="30"/>
  <c r="AK9" i="30"/>
  <c r="AJ9" i="30"/>
  <c r="AI9" i="30"/>
  <c r="AH9" i="30"/>
  <c r="AG9" i="30"/>
  <c r="AF9" i="30"/>
  <c r="AE9" i="30"/>
  <c r="AD9" i="30"/>
  <c r="AC9" i="30"/>
  <c r="AB9" i="30"/>
  <c r="AA9" i="30"/>
  <c r="Z9" i="30"/>
  <c r="Y9" i="30"/>
  <c r="X9" i="30"/>
  <c r="W9" i="30"/>
  <c r="V9" i="30"/>
  <c r="U9" i="30"/>
  <c r="T9" i="30"/>
  <c r="S9" i="30"/>
  <c r="R9" i="30"/>
  <c r="Q9" i="30"/>
  <c r="P9" i="30"/>
  <c r="O9" i="30"/>
  <c r="N9" i="30"/>
  <c r="L79" i="30"/>
  <c r="L78" i="30"/>
  <c r="L77" i="30"/>
  <c r="L76" i="30"/>
  <c r="L75" i="30"/>
  <c r="L74" i="30"/>
  <c r="L73" i="30"/>
  <c r="L70" i="30"/>
  <c r="L69" i="30"/>
  <c r="L68" i="30"/>
  <c r="L67" i="30"/>
  <c r="L66" i="30"/>
  <c r="L65" i="30"/>
  <c r="L64" i="30"/>
  <c r="L61" i="30"/>
  <c r="L60" i="30"/>
  <c r="L59" i="30"/>
  <c r="L58" i="30"/>
  <c r="L57" i="30"/>
  <c r="L56" i="30"/>
  <c r="L55" i="30"/>
  <c r="L52" i="30"/>
  <c r="L51" i="30"/>
  <c r="L50" i="30"/>
  <c r="L49" i="30"/>
  <c r="L48" i="30"/>
  <c r="L47" i="30"/>
  <c r="L46" i="30"/>
  <c r="L43" i="30"/>
  <c r="L42" i="30"/>
  <c r="L41" i="30"/>
  <c r="L40" i="30"/>
  <c r="L39" i="30"/>
  <c r="L38" i="30"/>
  <c r="L37" i="30"/>
  <c r="L34" i="30"/>
  <c r="L33" i="30"/>
  <c r="L32" i="30"/>
  <c r="L31" i="30"/>
  <c r="L30" i="30"/>
  <c r="L29" i="30"/>
  <c r="L28" i="30"/>
  <c r="L25" i="30"/>
  <c r="L24" i="30"/>
  <c r="L23" i="30"/>
  <c r="L22" i="30"/>
  <c r="L21" i="30"/>
  <c r="L20" i="30"/>
  <c r="L19" i="30"/>
  <c r="L10" i="30"/>
  <c r="L11" i="30"/>
  <c r="L12" i="30"/>
  <c r="L13" i="30"/>
  <c r="L14" i="30"/>
  <c r="L15" i="30"/>
  <c r="L16" i="30"/>
  <c r="AY16" i="56" l="1"/>
  <c r="AY9" i="56"/>
  <c r="AV8" i="41"/>
  <c r="N36" i="30"/>
  <c r="M37" i="30"/>
  <c r="M36" i="30" s="1"/>
  <c r="H3" i="34"/>
  <c r="AR72" i="30"/>
  <c r="AQ72" i="30"/>
  <c r="M54" i="30"/>
  <c r="AP78" i="30"/>
  <c r="M63" i="30"/>
  <c r="M45" i="30"/>
  <c r="M27" i="30"/>
  <c r="M18" i="30"/>
  <c r="M9" i="30"/>
  <c r="G4" i="34" l="1"/>
  <c r="F4" i="34"/>
  <c r="E4" i="34"/>
  <c r="AP72" i="30"/>
  <c r="AO78" i="30"/>
  <c r="H4" i="34" l="1"/>
  <c r="AN78" i="30"/>
  <c r="AO72" i="30"/>
  <c r="AM78" i="30" l="1"/>
  <c r="AN72" i="30"/>
  <c r="D47" i="16"/>
  <c r="D46" i="16"/>
  <c r="B12" i="29"/>
  <c r="B11" i="29"/>
  <c r="B10" i="29"/>
  <c r="B9" i="29"/>
  <c r="B8" i="29"/>
  <c r="B7" i="29"/>
  <c r="B6" i="29"/>
  <c r="B5" i="29"/>
  <c r="AL78" i="30" l="1"/>
  <c r="AM72" i="30"/>
  <c r="B4" i="29"/>
  <c r="AK78" i="30" l="1"/>
  <c r="AL72" i="30"/>
  <c r="AK72" i="30" l="1"/>
  <c r="AJ78" i="30"/>
  <c r="AJ72" i="30" l="1"/>
  <c r="AI78" i="30"/>
  <c r="AI72" i="30" l="1"/>
  <c r="AH78" i="30"/>
  <c r="AH72" i="30" l="1"/>
  <c r="AG78" i="30"/>
  <c r="AG72" i="30" l="1"/>
  <c r="AF78" i="30"/>
  <c r="AF72" i="30" l="1"/>
  <c r="AE78" i="30"/>
  <c r="AB36" i="23"/>
  <c r="AB35" i="23"/>
  <c r="AB34" i="23"/>
  <c r="AB33" i="23"/>
  <c r="AB32" i="23"/>
  <c r="AB31" i="23"/>
  <c r="AB30" i="23"/>
  <c r="AB29" i="23"/>
  <c r="AB28" i="23"/>
  <c r="AB27" i="23"/>
  <c r="AB26" i="23"/>
  <c r="AB25" i="23"/>
  <c r="AB24" i="23"/>
  <c r="AB23" i="23"/>
  <c r="AB22" i="23"/>
  <c r="AB21" i="23"/>
  <c r="AB20" i="23"/>
  <c r="AB19" i="23"/>
  <c r="AB18" i="23"/>
  <c r="AB17" i="23"/>
  <c r="AB16" i="23"/>
  <c r="AB15" i="23"/>
  <c r="AB14" i="23"/>
  <c r="AB13" i="23"/>
  <c r="AB12" i="23"/>
  <c r="AB11" i="23"/>
  <c r="AB10" i="23"/>
  <c r="AB9" i="23"/>
  <c r="AB8" i="23"/>
  <c r="AB7" i="23"/>
  <c r="AB6" i="23"/>
  <c r="V36" i="23"/>
  <c r="V35" i="23"/>
  <c r="V34" i="23"/>
  <c r="V33" i="23"/>
  <c r="V32" i="23"/>
  <c r="V31" i="23"/>
  <c r="V30" i="23"/>
  <c r="V29" i="23"/>
  <c r="V28" i="23"/>
  <c r="V27" i="23"/>
  <c r="V26" i="23"/>
  <c r="V25" i="23"/>
  <c r="V24" i="23"/>
  <c r="V23" i="23"/>
  <c r="V22" i="23"/>
  <c r="V21" i="23"/>
  <c r="V20" i="23"/>
  <c r="V19" i="23"/>
  <c r="V18" i="23"/>
  <c r="V17" i="23"/>
  <c r="V16" i="23"/>
  <c r="V15" i="23"/>
  <c r="V14" i="23"/>
  <c r="V13" i="23"/>
  <c r="V12" i="23"/>
  <c r="V11" i="23"/>
  <c r="V10" i="23"/>
  <c r="V9" i="23"/>
  <c r="V8" i="23"/>
  <c r="V7" i="23"/>
  <c r="V6" i="23"/>
  <c r="S35" i="23"/>
  <c r="S34" i="23"/>
  <c r="S33" i="23"/>
  <c r="S31" i="23"/>
  <c r="S30" i="23"/>
  <c r="S29" i="23"/>
  <c r="S28" i="23"/>
  <c r="S26" i="23"/>
  <c r="S22" i="23"/>
  <c r="S20" i="23"/>
  <c r="S16" i="23"/>
  <c r="S15" i="23"/>
  <c r="S14" i="23"/>
  <c r="S13" i="23"/>
  <c r="S11" i="23"/>
  <c r="S10" i="23"/>
  <c r="S9" i="23"/>
  <c r="S8" i="23"/>
  <c r="S7" i="23"/>
  <c r="S6" i="23"/>
  <c r="H36" i="23"/>
  <c r="C12" i="29" s="1"/>
  <c r="H35" i="23"/>
  <c r="C11" i="29" s="1"/>
  <c r="H34" i="23"/>
  <c r="H33" i="23"/>
  <c r="H32" i="23"/>
  <c r="H31" i="23"/>
  <c r="H30" i="23"/>
  <c r="H29" i="23"/>
  <c r="H28" i="23"/>
  <c r="H27" i="23"/>
  <c r="H26" i="23"/>
  <c r="H25" i="23"/>
  <c r="H24" i="23"/>
  <c r="H23" i="23"/>
  <c r="H22" i="23"/>
  <c r="H21" i="23"/>
  <c r="H20" i="23"/>
  <c r="H19" i="23"/>
  <c r="H18" i="23"/>
  <c r="H17" i="23"/>
  <c r="H16" i="23"/>
  <c r="H15" i="23"/>
  <c r="H14" i="23"/>
  <c r="H13" i="23"/>
  <c r="H12" i="23"/>
  <c r="H11" i="23"/>
  <c r="H10" i="23"/>
  <c r="H9" i="23"/>
  <c r="H8" i="23"/>
  <c r="H7" i="23"/>
  <c r="H6" i="23"/>
  <c r="C7" i="24"/>
  <c r="D7" i="24" s="1"/>
  <c r="E7" i="24" s="1"/>
  <c r="F7" i="24" s="1"/>
  <c r="G7" i="24" s="1"/>
  <c r="H7" i="24" s="1"/>
  <c r="C6" i="24"/>
  <c r="D6" i="24" s="1"/>
  <c r="E6" i="24" s="1"/>
  <c r="F6" i="24" s="1"/>
  <c r="G6" i="24" s="1"/>
  <c r="H6" i="24" s="1"/>
  <c r="C5" i="24"/>
  <c r="D5" i="24" s="1"/>
  <c r="E5" i="24" s="1"/>
  <c r="F5" i="24" s="1"/>
  <c r="G5" i="24" s="1"/>
  <c r="H5" i="24" s="1"/>
  <c r="C4" i="24"/>
  <c r="D4" i="24" s="1"/>
  <c r="E4" i="24" s="1"/>
  <c r="F4" i="24" s="1"/>
  <c r="G4" i="24" s="1"/>
  <c r="H4" i="24" s="1"/>
  <c r="C3" i="24"/>
  <c r="D3" i="24" s="1"/>
  <c r="E3" i="24" s="1"/>
  <c r="F3" i="24" s="1"/>
  <c r="G3" i="24" s="1"/>
  <c r="H3" i="24" s="1"/>
  <c r="F5" i="23"/>
  <c r="G34" i="23" s="1"/>
  <c r="S17" i="23" l="1"/>
  <c r="S18" i="23"/>
  <c r="S32" i="23"/>
  <c r="S23" i="23"/>
  <c r="S12" i="23"/>
  <c r="S24" i="23"/>
  <c r="S36" i="23"/>
  <c r="S25" i="23"/>
  <c r="S19" i="23"/>
  <c r="S27" i="23"/>
  <c r="S21" i="23"/>
  <c r="C8" i="29"/>
  <c r="C10" i="29"/>
  <c r="C9" i="29"/>
  <c r="C5" i="29"/>
  <c r="C6" i="29"/>
  <c r="C7" i="29"/>
  <c r="AE72" i="30"/>
  <c r="AD78" i="30"/>
  <c r="H5" i="23"/>
  <c r="G13" i="23"/>
  <c r="G23" i="23"/>
  <c r="G24" i="23"/>
  <c r="G26" i="23"/>
  <c r="G16" i="23"/>
  <c r="G17" i="23"/>
  <c r="G18" i="23"/>
  <c r="G7" i="23"/>
  <c r="G19" i="23"/>
  <c r="G31" i="23"/>
  <c r="G30" i="23"/>
  <c r="G8" i="23"/>
  <c r="G20" i="23"/>
  <c r="G32" i="23"/>
  <c r="G35" i="23"/>
  <c r="G12" i="23"/>
  <c r="G25" i="23"/>
  <c r="G15" i="23"/>
  <c r="G28" i="23"/>
  <c r="G6" i="23"/>
  <c r="G9" i="23"/>
  <c r="G21" i="23"/>
  <c r="G33" i="23"/>
  <c r="G11" i="23"/>
  <c r="G36" i="23"/>
  <c r="G14" i="23"/>
  <c r="G27" i="23"/>
  <c r="G29" i="23"/>
  <c r="G10" i="23"/>
  <c r="G22" i="23"/>
  <c r="C4" i="29" l="1"/>
  <c r="AD72" i="30"/>
  <c r="AC78" i="30"/>
  <c r="AA36" i="23"/>
  <c r="AA35" i="23"/>
  <c r="AA34" i="23"/>
  <c r="AA33" i="23"/>
  <c r="AA32" i="23"/>
  <c r="AA31" i="23"/>
  <c r="AA30" i="23"/>
  <c r="AA29" i="23"/>
  <c r="AA28" i="23"/>
  <c r="AA27" i="23"/>
  <c r="AA26" i="23"/>
  <c r="AA25" i="23"/>
  <c r="AA24" i="23"/>
  <c r="AA23" i="23"/>
  <c r="AA22" i="23"/>
  <c r="AA21" i="23"/>
  <c r="AA20" i="23"/>
  <c r="AA19" i="23"/>
  <c r="AA18" i="23"/>
  <c r="AA17" i="23"/>
  <c r="AA16" i="23"/>
  <c r="AA15" i="23"/>
  <c r="AA14" i="23"/>
  <c r="AA13" i="23"/>
  <c r="AA12" i="23"/>
  <c r="AA11" i="23"/>
  <c r="AA10" i="23"/>
  <c r="AA9" i="23"/>
  <c r="AA8" i="23"/>
  <c r="AA7" i="23"/>
  <c r="U36" i="23"/>
  <c r="U35" i="23"/>
  <c r="U34" i="23"/>
  <c r="U33" i="23"/>
  <c r="U32" i="23"/>
  <c r="U31" i="23"/>
  <c r="U30" i="23"/>
  <c r="U29" i="23"/>
  <c r="U28" i="23"/>
  <c r="U27" i="23"/>
  <c r="U26" i="23"/>
  <c r="U25" i="23"/>
  <c r="U24" i="23"/>
  <c r="U23" i="23"/>
  <c r="U22" i="23"/>
  <c r="U21" i="23"/>
  <c r="U20" i="23"/>
  <c r="U19" i="23"/>
  <c r="U18" i="23"/>
  <c r="U17" i="23"/>
  <c r="U16" i="23"/>
  <c r="U15" i="23"/>
  <c r="U14" i="23"/>
  <c r="U13" i="23"/>
  <c r="U12" i="23"/>
  <c r="U11" i="23"/>
  <c r="U10" i="23"/>
  <c r="U9" i="23"/>
  <c r="U8" i="23"/>
  <c r="U7" i="23"/>
  <c r="AA6" i="23"/>
  <c r="U6" i="23"/>
  <c r="P36" i="23"/>
  <c r="P35" i="23"/>
  <c r="P34" i="23"/>
  <c r="P33" i="23"/>
  <c r="P32" i="23"/>
  <c r="P31" i="23"/>
  <c r="P30" i="23"/>
  <c r="P29" i="23"/>
  <c r="P28" i="23"/>
  <c r="P27" i="23"/>
  <c r="P26" i="23"/>
  <c r="P25" i="23"/>
  <c r="P24" i="23"/>
  <c r="P23" i="23"/>
  <c r="P22" i="23"/>
  <c r="P21" i="23"/>
  <c r="P20" i="23"/>
  <c r="P19" i="23"/>
  <c r="P18" i="23"/>
  <c r="P17" i="23"/>
  <c r="P16" i="23"/>
  <c r="P15" i="23"/>
  <c r="P14" i="23"/>
  <c r="P13" i="23"/>
  <c r="P12" i="23"/>
  <c r="P11" i="23"/>
  <c r="P10" i="23"/>
  <c r="P9" i="23"/>
  <c r="P8" i="23"/>
  <c r="P7" i="23"/>
  <c r="P6" i="23"/>
  <c r="O36" i="23"/>
  <c r="O35" i="23"/>
  <c r="O34" i="23"/>
  <c r="O33" i="23"/>
  <c r="O32" i="23"/>
  <c r="O31" i="23"/>
  <c r="O30" i="23"/>
  <c r="O29" i="23"/>
  <c r="O28" i="23"/>
  <c r="O27" i="23"/>
  <c r="O26" i="23"/>
  <c r="O25" i="23"/>
  <c r="O24" i="23"/>
  <c r="O23" i="23"/>
  <c r="O22" i="23"/>
  <c r="O21" i="23"/>
  <c r="O20" i="23"/>
  <c r="O19" i="23"/>
  <c r="O18" i="23"/>
  <c r="O17" i="23"/>
  <c r="O16" i="23"/>
  <c r="O15" i="23"/>
  <c r="O14" i="23"/>
  <c r="O13" i="23"/>
  <c r="O12" i="23"/>
  <c r="O11" i="23"/>
  <c r="O10" i="23"/>
  <c r="O9" i="23"/>
  <c r="O8" i="23"/>
  <c r="O7" i="23"/>
  <c r="O6" i="23"/>
  <c r="N36" i="23"/>
  <c r="N35" i="23"/>
  <c r="N34" i="23"/>
  <c r="N33" i="23"/>
  <c r="N32" i="23"/>
  <c r="N31" i="23"/>
  <c r="N30" i="23"/>
  <c r="N29" i="23"/>
  <c r="N28" i="23"/>
  <c r="N27" i="23"/>
  <c r="N26" i="23"/>
  <c r="N25" i="23"/>
  <c r="N24" i="23"/>
  <c r="N23" i="23"/>
  <c r="N22" i="23"/>
  <c r="N21" i="23"/>
  <c r="N20" i="23"/>
  <c r="N19" i="23"/>
  <c r="N18" i="23"/>
  <c r="N17" i="23"/>
  <c r="N16" i="23"/>
  <c r="N15" i="23"/>
  <c r="N14" i="23"/>
  <c r="N13" i="23"/>
  <c r="N12" i="23"/>
  <c r="N11" i="23"/>
  <c r="N10" i="23"/>
  <c r="N9" i="23"/>
  <c r="N8" i="23"/>
  <c r="N7" i="23"/>
  <c r="N6" i="23"/>
  <c r="AB78" i="30" l="1"/>
  <c r="AC72" i="30"/>
  <c r="AE18" i="23"/>
  <c r="AC18" i="23"/>
  <c r="AD18" i="23" s="1"/>
  <c r="AC30" i="23"/>
  <c r="AD30" i="23"/>
  <c r="AE30" i="23"/>
  <c r="AE19" i="23"/>
  <c r="AC19" i="23"/>
  <c r="AD19" i="23" s="1"/>
  <c r="AF19" i="23" s="1"/>
  <c r="AD31" i="23"/>
  <c r="AE31" i="23"/>
  <c r="AC31" i="23"/>
  <c r="AE8" i="23"/>
  <c r="AC8" i="23"/>
  <c r="AD8" i="23" s="1"/>
  <c r="AD20" i="23"/>
  <c r="AC20" i="23"/>
  <c r="AE20" i="23"/>
  <c r="AC32" i="23"/>
  <c r="AD32" i="23" s="1"/>
  <c r="AE32" i="23"/>
  <c r="AC29" i="23"/>
  <c r="AD29" i="23"/>
  <c r="AE29" i="23"/>
  <c r="AD7" i="23"/>
  <c r="AE7" i="23"/>
  <c r="AC7" i="23"/>
  <c r="AE9" i="23"/>
  <c r="AC9" i="23"/>
  <c r="AD9" i="23" s="1"/>
  <c r="AE21" i="23"/>
  <c r="AC21" i="23"/>
  <c r="AD21" i="23" s="1"/>
  <c r="AD33" i="23"/>
  <c r="AE33" i="23"/>
  <c r="AC33" i="23"/>
  <c r="AC17" i="23"/>
  <c r="AD17" i="23" s="1"/>
  <c r="AE17" i="23"/>
  <c r="AD10" i="23"/>
  <c r="AE10" i="23"/>
  <c r="AC10" i="23"/>
  <c r="AD22" i="23"/>
  <c r="AE22" i="23"/>
  <c r="AC22" i="23"/>
  <c r="AD34" i="23"/>
  <c r="AE34" i="23"/>
  <c r="AC34" i="23"/>
  <c r="AE11" i="23"/>
  <c r="AD11" i="23"/>
  <c r="AF11" i="23" s="1"/>
  <c r="AC11" i="23"/>
  <c r="AE23" i="23"/>
  <c r="AC23" i="23"/>
  <c r="AD23" i="23" s="1"/>
  <c r="AE35" i="23"/>
  <c r="AC35" i="23"/>
  <c r="AD35" i="23"/>
  <c r="AE6" i="23"/>
  <c r="AC6" i="23"/>
  <c r="AD6" i="23" s="1"/>
  <c r="AE12" i="23"/>
  <c r="AC12" i="23"/>
  <c r="AD12" i="23" s="1"/>
  <c r="AE24" i="23"/>
  <c r="AC24" i="23"/>
  <c r="AD24" i="23" s="1"/>
  <c r="AF24" i="23" s="1"/>
  <c r="AE36" i="23"/>
  <c r="AC36" i="23"/>
  <c r="AD36" i="23" s="1"/>
  <c r="AC28" i="23"/>
  <c r="AE28" i="23"/>
  <c r="AD28" i="23"/>
  <c r="AE13" i="23"/>
  <c r="AC13" i="23"/>
  <c r="AD13" i="23"/>
  <c r="AE25" i="23"/>
  <c r="AC25" i="23"/>
  <c r="AD25" i="23" s="1"/>
  <c r="AE14" i="23"/>
  <c r="AC14" i="23"/>
  <c r="AD14" i="23"/>
  <c r="AE26" i="23"/>
  <c r="AC26" i="23"/>
  <c r="AD26" i="23"/>
  <c r="AC16" i="23"/>
  <c r="AD16" i="23"/>
  <c r="AE16" i="23"/>
  <c r="AE15" i="23"/>
  <c r="AC15" i="23"/>
  <c r="AD15" i="23"/>
  <c r="AE27" i="23"/>
  <c r="AC27" i="23"/>
  <c r="AD27" i="23" s="1"/>
  <c r="AF27" i="23" s="1"/>
  <c r="W10" i="23"/>
  <c r="X10" i="23" s="1"/>
  <c r="Y10" i="23"/>
  <c r="W12" i="23"/>
  <c r="X12" i="23" s="1"/>
  <c r="Y12" i="23"/>
  <c r="W24" i="23"/>
  <c r="X24" i="23" s="1"/>
  <c r="Y24" i="23"/>
  <c r="W36" i="23"/>
  <c r="X36" i="23" s="1"/>
  <c r="Y36" i="23"/>
  <c r="W22" i="23"/>
  <c r="X22" i="23" s="1"/>
  <c r="Y22" i="23"/>
  <c r="W26" i="23"/>
  <c r="X26" i="23" s="1"/>
  <c r="Y26" i="23"/>
  <c r="W23" i="23"/>
  <c r="X23" i="23" s="1"/>
  <c r="Y23" i="23"/>
  <c r="W14" i="23"/>
  <c r="X14" i="23" s="1"/>
  <c r="Y14" i="23"/>
  <c r="W15" i="23"/>
  <c r="X15" i="23" s="1"/>
  <c r="Y15" i="23"/>
  <c r="W27" i="23"/>
  <c r="X27" i="23" s="1"/>
  <c r="Y27" i="23"/>
  <c r="W17" i="23"/>
  <c r="X17" i="23" s="1"/>
  <c r="Y17" i="23"/>
  <c r="W29" i="23"/>
  <c r="X29" i="23" s="1"/>
  <c r="Y29" i="23"/>
  <c r="W13" i="23"/>
  <c r="X13" i="23" s="1"/>
  <c r="Y13" i="23"/>
  <c r="W28" i="23"/>
  <c r="X28" i="23" s="1"/>
  <c r="Y28" i="23"/>
  <c r="W6" i="23"/>
  <c r="X6" i="23" s="1"/>
  <c r="Y6" i="23"/>
  <c r="W18" i="23"/>
  <c r="X18" i="23" s="1"/>
  <c r="Y18" i="23"/>
  <c r="W30" i="23"/>
  <c r="X30" i="23" s="1"/>
  <c r="Y30" i="23"/>
  <c r="W34" i="23"/>
  <c r="X34" i="23" s="1"/>
  <c r="Y34" i="23"/>
  <c r="W11" i="23"/>
  <c r="X11" i="23" s="1"/>
  <c r="Y11" i="23"/>
  <c r="W19" i="23"/>
  <c r="X19" i="23" s="1"/>
  <c r="Y19" i="23"/>
  <c r="W8" i="23"/>
  <c r="X8" i="23" s="1"/>
  <c r="Y8" i="23"/>
  <c r="W20" i="23"/>
  <c r="X20" i="23" s="1"/>
  <c r="Y20" i="23"/>
  <c r="W32" i="23"/>
  <c r="X32" i="23" s="1"/>
  <c r="Y32" i="23"/>
  <c r="W35" i="23"/>
  <c r="X35" i="23" s="1"/>
  <c r="Y35" i="23"/>
  <c r="W25" i="23"/>
  <c r="X25" i="23" s="1"/>
  <c r="Y25" i="23"/>
  <c r="W16" i="23"/>
  <c r="X16" i="23" s="1"/>
  <c r="Y16" i="23"/>
  <c r="W7" i="23"/>
  <c r="X7" i="23" s="1"/>
  <c r="Y7" i="23"/>
  <c r="W31" i="23"/>
  <c r="X31" i="23" s="1"/>
  <c r="Y31" i="23"/>
  <c r="W9" i="23"/>
  <c r="X9" i="23" s="1"/>
  <c r="Y9" i="23"/>
  <c r="W21" i="23"/>
  <c r="X21" i="23" s="1"/>
  <c r="Y21" i="23"/>
  <c r="W33" i="23"/>
  <c r="X33" i="23" s="1"/>
  <c r="Y33" i="23"/>
  <c r="R30" i="23"/>
  <c r="Q30" i="23"/>
  <c r="Q20" i="23"/>
  <c r="R20" i="23"/>
  <c r="Q6" i="23"/>
  <c r="R6" i="23"/>
  <c r="Q10" i="23"/>
  <c r="R10" i="23"/>
  <c r="Q22" i="23"/>
  <c r="R22" i="23"/>
  <c r="Q34" i="23"/>
  <c r="R34" i="23"/>
  <c r="Q11" i="23"/>
  <c r="R11" i="23"/>
  <c r="Q23" i="23"/>
  <c r="R23" i="23"/>
  <c r="Q35" i="23"/>
  <c r="R35" i="23"/>
  <c r="R19" i="23"/>
  <c r="Q19" i="23"/>
  <c r="Q12" i="23"/>
  <c r="R12" i="23"/>
  <c r="Q24" i="23"/>
  <c r="R24" i="23"/>
  <c r="Q36" i="23"/>
  <c r="R36" i="23"/>
  <c r="Q8" i="23"/>
  <c r="R8" i="23"/>
  <c r="Q33" i="23"/>
  <c r="R33" i="23"/>
  <c r="R13" i="23"/>
  <c r="Q13" i="23"/>
  <c r="Q25" i="23"/>
  <c r="R25" i="23"/>
  <c r="Q18" i="23"/>
  <c r="R18" i="23"/>
  <c r="R7" i="23"/>
  <c r="Q7" i="23"/>
  <c r="Q9" i="23"/>
  <c r="R9" i="23"/>
  <c r="Q14" i="23"/>
  <c r="R14" i="23"/>
  <c r="Q26" i="23"/>
  <c r="R26" i="23"/>
  <c r="R31" i="23"/>
  <c r="Q31" i="23"/>
  <c r="Q32" i="23"/>
  <c r="R32" i="23"/>
  <c r="Q21" i="23"/>
  <c r="R21" i="23"/>
  <c r="R15" i="23"/>
  <c r="Q15" i="23"/>
  <c r="R27" i="23"/>
  <c r="Q27" i="23"/>
  <c r="R16" i="23"/>
  <c r="Q16" i="23"/>
  <c r="R28" i="23"/>
  <c r="Q28" i="23"/>
  <c r="R17" i="23"/>
  <c r="Q17" i="23"/>
  <c r="R29" i="23"/>
  <c r="Q29" i="23"/>
  <c r="AF6" i="23" l="1"/>
  <c r="AF18" i="23"/>
  <c r="Z33" i="23"/>
  <c r="Z25" i="23"/>
  <c r="Z11" i="23"/>
  <c r="Z13" i="23"/>
  <c r="Z23" i="23"/>
  <c r="Z10" i="23"/>
  <c r="AF15" i="23"/>
  <c r="AF25" i="23"/>
  <c r="AF12" i="23"/>
  <c r="AF34" i="23"/>
  <c r="AF33" i="23"/>
  <c r="AF32" i="23"/>
  <c r="AF30" i="23"/>
  <c r="AF35" i="23"/>
  <c r="F11" i="29" s="1"/>
  <c r="AF28" i="23"/>
  <c r="AF21" i="23"/>
  <c r="AF23" i="23"/>
  <c r="AF14" i="23"/>
  <c r="AF17" i="23"/>
  <c r="AF31" i="23"/>
  <c r="AF13" i="23"/>
  <c r="Z16" i="23"/>
  <c r="Z19" i="23"/>
  <c r="AF26" i="23"/>
  <c r="Z28" i="23"/>
  <c r="AF36" i="23"/>
  <c r="F12" i="29" s="1"/>
  <c r="T18" i="23"/>
  <c r="T34" i="23"/>
  <c r="T21" i="23"/>
  <c r="T36" i="23"/>
  <c r="D12" i="29" s="1"/>
  <c r="AA78" i="30"/>
  <c r="AB72" i="30"/>
  <c r="AF29" i="23"/>
  <c r="Z9" i="23"/>
  <c r="Z22" i="23"/>
  <c r="AF22" i="23"/>
  <c r="AF10" i="23"/>
  <c r="AF9" i="23"/>
  <c r="AF20" i="23"/>
  <c r="AF16" i="23"/>
  <c r="AF7" i="23"/>
  <c r="AF8" i="23"/>
  <c r="T28" i="23"/>
  <c r="T31" i="23"/>
  <c r="T27" i="23"/>
  <c r="Z14" i="23"/>
  <c r="Z17" i="23"/>
  <c r="Z32" i="23"/>
  <c r="Z30" i="23"/>
  <c r="Z12" i="23"/>
  <c r="T15" i="23"/>
  <c r="Z26" i="23"/>
  <c r="T16" i="23"/>
  <c r="T13" i="23"/>
  <c r="T19" i="23"/>
  <c r="T12" i="23"/>
  <c r="Z21" i="23"/>
  <c r="Z31" i="23"/>
  <c r="Z20" i="23"/>
  <c r="Z18" i="23"/>
  <c r="Z27" i="23"/>
  <c r="Z36" i="23"/>
  <c r="E12" i="29" s="1"/>
  <c r="Z29" i="23"/>
  <c r="Z8" i="23"/>
  <c r="Z15" i="23"/>
  <c r="Z24" i="23"/>
  <c r="Z34" i="23"/>
  <c r="Z7" i="23"/>
  <c r="Z6" i="23"/>
  <c r="T30" i="23"/>
  <c r="T22" i="23"/>
  <c r="T17" i="23"/>
  <c r="Z35" i="23"/>
  <c r="E11" i="29" s="1"/>
  <c r="T25" i="23"/>
  <c r="T24" i="23"/>
  <c r="T26" i="23"/>
  <c r="T10" i="23"/>
  <c r="R5" i="23"/>
  <c r="T33" i="23"/>
  <c r="T35" i="23"/>
  <c r="T6" i="23"/>
  <c r="T14" i="23"/>
  <c r="T9" i="23"/>
  <c r="T23" i="23"/>
  <c r="T20" i="23"/>
  <c r="T29" i="23"/>
  <c r="T7" i="23"/>
  <c r="T32" i="23"/>
  <c r="T8" i="23"/>
  <c r="T11" i="23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G37" i="20"/>
  <c r="P37" i="20" s="1"/>
  <c r="G36" i="20"/>
  <c r="P36" i="20" s="1"/>
  <c r="G35" i="20"/>
  <c r="P35" i="20" s="1"/>
  <c r="G34" i="20"/>
  <c r="P34" i="20" s="1"/>
  <c r="G33" i="20"/>
  <c r="P33" i="20" s="1"/>
  <c r="G32" i="20"/>
  <c r="P32" i="20" s="1"/>
  <c r="G31" i="20"/>
  <c r="P31" i="20" s="1"/>
  <c r="G30" i="20"/>
  <c r="P30" i="20" s="1"/>
  <c r="G29" i="20"/>
  <c r="P29" i="20" s="1"/>
  <c r="G28" i="20"/>
  <c r="P28" i="20" s="1"/>
  <c r="G27" i="20"/>
  <c r="P27" i="20" s="1"/>
  <c r="G26" i="20"/>
  <c r="P26" i="20" s="1"/>
  <c r="G25" i="20"/>
  <c r="P25" i="20" s="1"/>
  <c r="G24" i="20"/>
  <c r="P24" i="20" s="1"/>
  <c r="G23" i="20"/>
  <c r="P23" i="20" s="1"/>
  <c r="G22" i="20"/>
  <c r="P22" i="20" s="1"/>
  <c r="G21" i="20"/>
  <c r="P21" i="20" s="1"/>
  <c r="G20" i="20"/>
  <c r="P20" i="20" s="1"/>
  <c r="G19" i="20"/>
  <c r="P19" i="20" s="1"/>
  <c r="G18" i="20"/>
  <c r="P18" i="20" s="1"/>
  <c r="G17" i="20"/>
  <c r="P17" i="20" s="1"/>
  <c r="G16" i="20"/>
  <c r="P16" i="20" s="1"/>
  <c r="G15" i="20"/>
  <c r="P15" i="20" s="1"/>
  <c r="G14" i="20"/>
  <c r="P14" i="20" s="1"/>
  <c r="G13" i="20"/>
  <c r="P13" i="20" s="1"/>
  <c r="G12" i="20"/>
  <c r="P12" i="20" s="1"/>
  <c r="G11" i="20"/>
  <c r="P11" i="20" s="1"/>
  <c r="G10" i="20"/>
  <c r="P10" i="20" s="1"/>
  <c r="G9" i="20"/>
  <c r="P9" i="20" s="1"/>
  <c r="G8" i="20"/>
  <c r="P8" i="20" s="1"/>
  <c r="G7" i="20"/>
  <c r="P7" i="20" s="1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11" i="20"/>
  <c r="A10" i="20"/>
  <c r="A9" i="20"/>
  <c r="A8" i="20"/>
  <c r="A7" i="20"/>
  <c r="S42" i="14"/>
  <c r="S41" i="14"/>
  <c r="S40" i="14"/>
  <c r="S39" i="14"/>
  <c r="C37" i="20" s="1"/>
  <c r="S38" i="14"/>
  <c r="C36" i="20" s="1"/>
  <c r="S37" i="14"/>
  <c r="C35" i="20" s="1"/>
  <c r="S36" i="14"/>
  <c r="C34" i="20" s="1"/>
  <c r="S35" i="14"/>
  <c r="C33" i="20" s="1"/>
  <c r="S34" i="14"/>
  <c r="C32" i="20" s="1"/>
  <c r="S33" i="14"/>
  <c r="C31" i="20" s="1"/>
  <c r="S32" i="14"/>
  <c r="C30" i="20" s="1"/>
  <c r="S31" i="14"/>
  <c r="C29" i="20" s="1"/>
  <c r="S30" i="14"/>
  <c r="C28" i="20" s="1"/>
  <c r="S29" i="14"/>
  <c r="C27" i="20" s="1"/>
  <c r="S28" i="14"/>
  <c r="C26" i="20" s="1"/>
  <c r="S27" i="14"/>
  <c r="C25" i="20" s="1"/>
  <c r="S26" i="14"/>
  <c r="C24" i="20" s="1"/>
  <c r="S25" i="14"/>
  <c r="C23" i="20" s="1"/>
  <c r="S24" i="14"/>
  <c r="C22" i="20" s="1"/>
  <c r="S23" i="14"/>
  <c r="C21" i="20" s="1"/>
  <c r="S22" i="14"/>
  <c r="C20" i="20" s="1"/>
  <c r="S21" i="14"/>
  <c r="C19" i="20" s="1"/>
  <c r="S20" i="14"/>
  <c r="C18" i="20" s="1"/>
  <c r="S19" i="14"/>
  <c r="C17" i="20" s="1"/>
  <c r="S18" i="14"/>
  <c r="C16" i="20" s="1"/>
  <c r="S17" i="14"/>
  <c r="C15" i="20" s="1"/>
  <c r="S16" i="14"/>
  <c r="C14" i="20" s="1"/>
  <c r="S15" i="14"/>
  <c r="C13" i="20" s="1"/>
  <c r="S14" i="14"/>
  <c r="C12" i="20" s="1"/>
  <c r="S13" i="14"/>
  <c r="C11" i="20" s="1"/>
  <c r="S12" i="14"/>
  <c r="C10" i="20" s="1"/>
  <c r="S11" i="14"/>
  <c r="C9" i="20" s="1"/>
  <c r="S10" i="14"/>
  <c r="C8" i="20" s="1"/>
  <c r="S9" i="14"/>
  <c r="C7" i="20" s="1"/>
  <c r="H43" i="17"/>
  <c r="H41" i="17"/>
  <c r="H37" i="17"/>
  <c r="H32" i="17"/>
  <c r="H22" i="17"/>
  <c r="H15" i="17"/>
  <c r="H9" i="17"/>
  <c r="H6" i="17"/>
  <c r="D43" i="17"/>
  <c r="D41" i="17"/>
  <c r="E42" i="17" s="1"/>
  <c r="E41" i="17" s="1"/>
  <c r="D37" i="17"/>
  <c r="E40" i="17" s="1"/>
  <c r="D32" i="17"/>
  <c r="E36" i="17" s="1"/>
  <c r="D22" i="17"/>
  <c r="E30" i="17" s="1"/>
  <c r="D9" i="17"/>
  <c r="E14" i="17" s="1"/>
  <c r="G14" i="17" s="1"/>
  <c r="D6" i="17"/>
  <c r="E7" i="17" s="1"/>
  <c r="D15" i="17"/>
  <c r="E17" i="17" s="1"/>
  <c r="AG23" i="23" l="1"/>
  <c r="F8" i="29"/>
  <c r="F9" i="29"/>
  <c r="AG11" i="23"/>
  <c r="F10" i="29"/>
  <c r="E7" i="29"/>
  <c r="F7" i="29"/>
  <c r="E10" i="29"/>
  <c r="AG33" i="23"/>
  <c r="AG25" i="23"/>
  <c r="E9" i="29"/>
  <c r="AG22" i="23"/>
  <c r="E8" i="29"/>
  <c r="AG27" i="23"/>
  <c r="AG30" i="23"/>
  <c r="AG12" i="23"/>
  <c r="G12" i="29"/>
  <c r="AG26" i="23"/>
  <c r="E5" i="29"/>
  <c r="AG9" i="23"/>
  <c r="E6" i="29"/>
  <c r="F6" i="29"/>
  <c r="AF5" i="23"/>
  <c r="F5" i="29"/>
  <c r="J18" i="20"/>
  <c r="K18" i="20" s="1"/>
  <c r="AG18" i="23"/>
  <c r="AG34" i="23"/>
  <c r="AG32" i="23"/>
  <c r="D10" i="29"/>
  <c r="AG36" i="23"/>
  <c r="D5" i="29"/>
  <c r="AG21" i="23"/>
  <c r="P6" i="20"/>
  <c r="AG35" i="23"/>
  <c r="D11" i="29"/>
  <c r="G11" i="29" s="1"/>
  <c r="AG19" i="23"/>
  <c r="D8" i="29"/>
  <c r="AG28" i="23"/>
  <c r="D9" i="29"/>
  <c r="AG13" i="23"/>
  <c r="D7" i="29"/>
  <c r="AG8" i="23"/>
  <c r="D6" i="29"/>
  <c r="Z78" i="30"/>
  <c r="AA72" i="30"/>
  <c r="AG6" i="23"/>
  <c r="AG10" i="23"/>
  <c r="AG16" i="23"/>
  <c r="AG31" i="23"/>
  <c r="AG24" i="23"/>
  <c r="AG15" i="23"/>
  <c r="AG7" i="23"/>
  <c r="AG29" i="23"/>
  <c r="AG14" i="23"/>
  <c r="AG20" i="23"/>
  <c r="AG17" i="23"/>
  <c r="J11" i="20"/>
  <c r="K11" i="20" s="1"/>
  <c r="L11" i="20" s="1"/>
  <c r="J35" i="20"/>
  <c r="K35" i="20" s="1"/>
  <c r="L35" i="20" s="1"/>
  <c r="J13" i="20"/>
  <c r="K13" i="20" s="1"/>
  <c r="L13" i="20" s="1"/>
  <c r="J37" i="20"/>
  <c r="K37" i="20" s="1"/>
  <c r="L37" i="20" s="1"/>
  <c r="J25" i="20"/>
  <c r="K25" i="20" s="1"/>
  <c r="J23" i="20"/>
  <c r="K23" i="20" s="1"/>
  <c r="T5" i="23"/>
  <c r="Z5" i="23"/>
  <c r="J12" i="20"/>
  <c r="K12" i="20" s="1"/>
  <c r="L12" i="20" s="1"/>
  <c r="J24" i="20"/>
  <c r="K24" i="20" s="1"/>
  <c r="L24" i="20" s="1"/>
  <c r="J36" i="20"/>
  <c r="K36" i="20" s="1"/>
  <c r="L36" i="20" s="1"/>
  <c r="J28" i="20"/>
  <c r="K28" i="20" s="1"/>
  <c r="L28" i="20" s="1"/>
  <c r="J19" i="20"/>
  <c r="K19" i="20" s="1"/>
  <c r="J31" i="20"/>
  <c r="K31" i="20" s="1"/>
  <c r="J27" i="20"/>
  <c r="K27" i="20" s="1"/>
  <c r="L27" i="20" s="1"/>
  <c r="J15" i="20"/>
  <c r="K15" i="20" s="1"/>
  <c r="L15" i="20" s="1"/>
  <c r="J9" i="20"/>
  <c r="K9" i="20" s="1"/>
  <c r="L9" i="20" s="1"/>
  <c r="J21" i="20"/>
  <c r="K21" i="20" s="1"/>
  <c r="J33" i="20"/>
  <c r="K33" i="20" s="1"/>
  <c r="J16" i="20"/>
  <c r="K16" i="20" s="1"/>
  <c r="L16" i="20" s="1"/>
  <c r="J17" i="20"/>
  <c r="K17" i="20" s="1"/>
  <c r="L17" i="20" s="1"/>
  <c r="J29" i="20"/>
  <c r="K29" i="20" s="1"/>
  <c r="L29" i="20" s="1"/>
  <c r="J30" i="20"/>
  <c r="K30" i="20" s="1"/>
  <c r="L30" i="20" s="1"/>
  <c r="J8" i="20"/>
  <c r="K8" i="20" s="1"/>
  <c r="J20" i="20"/>
  <c r="K20" i="20" s="1"/>
  <c r="J32" i="20"/>
  <c r="K32" i="20" s="1"/>
  <c r="J10" i="20"/>
  <c r="K10" i="20" s="1"/>
  <c r="J22" i="20"/>
  <c r="K22" i="20" s="1"/>
  <c r="J34" i="20"/>
  <c r="K34" i="20" s="1"/>
  <c r="J14" i="20"/>
  <c r="K14" i="20" s="1"/>
  <c r="L14" i="20" s="1"/>
  <c r="J26" i="20"/>
  <c r="K26" i="20" s="1"/>
  <c r="L26" i="20" s="1"/>
  <c r="G6" i="20"/>
  <c r="J7" i="20"/>
  <c r="G42" i="17"/>
  <c r="G41" i="17" s="1"/>
  <c r="E8" i="17"/>
  <c r="G7" i="17" s="1"/>
  <c r="G6" i="17" s="1"/>
  <c r="E18" i="17"/>
  <c r="E19" i="17"/>
  <c r="E20" i="17"/>
  <c r="G20" i="17" s="1"/>
  <c r="E21" i="17"/>
  <c r="G21" i="17" s="1"/>
  <c r="E34" i="17"/>
  <c r="E35" i="17"/>
  <c r="E23" i="17"/>
  <c r="G23" i="17" s="1"/>
  <c r="E29" i="17"/>
  <c r="D5" i="17"/>
  <c r="E31" i="17"/>
  <c r="E33" i="17"/>
  <c r="E10" i="17"/>
  <c r="E13" i="17"/>
  <c r="E16" i="17"/>
  <c r="E38" i="17"/>
  <c r="G38" i="17" s="1"/>
  <c r="E24" i="17"/>
  <c r="E11" i="17"/>
  <c r="E25" i="17"/>
  <c r="G25" i="17" s="1"/>
  <c r="E39" i="17"/>
  <c r="G39" i="17" s="1"/>
  <c r="E12" i="17"/>
  <c r="E26" i="17"/>
  <c r="E27" i="17"/>
  <c r="G27" i="17" s="1"/>
  <c r="E28" i="17"/>
  <c r="G28" i="17" s="1"/>
  <c r="E44" i="17"/>
  <c r="Y14" i="28" l="1"/>
  <c r="BD14" i="41" s="1"/>
  <c r="BI15" i="56"/>
  <c r="Y15" i="28"/>
  <c r="BD15" i="41" s="1"/>
  <c r="BI16" i="56"/>
  <c r="G10" i="29"/>
  <c r="G7" i="29"/>
  <c r="E4" i="29"/>
  <c r="G9" i="29"/>
  <c r="G8" i="29"/>
  <c r="F4" i="29"/>
  <c r="G6" i="29"/>
  <c r="L18" i="20"/>
  <c r="Q18" i="20" s="1"/>
  <c r="L31" i="20"/>
  <c r="Q31" i="20" s="1"/>
  <c r="G5" i="29"/>
  <c r="BI9" i="56" s="1"/>
  <c r="D4" i="29"/>
  <c r="Y78" i="30"/>
  <c r="Z72" i="30"/>
  <c r="L23" i="20"/>
  <c r="L25" i="20"/>
  <c r="AG5" i="23"/>
  <c r="Q15" i="20"/>
  <c r="Q9" i="20"/>
  <c r="Q13" i="20"/>
  <c r="Q11" i="20"/>
  <c r="Q14" i="20"/>
  <c r="Q30" i="20"/>
  <c r="Q27" i="20"/>
  <c r="Q37" i="20"/>
  <c r="Q28" i="20"/>
  <c r="Q35" i="20"/>
  <c r="Q36" i="20"/>
  <c r="Q29" i="20"/>
  <c r="Q24" i="20"/>
  <c r="Q17" i="20"/>
  <c r="Q12" i="20"/>
  <c r="Q16" i="20"/>
  <c r="Q26" i="20"/>
  <c r="L21" i="20"/>
  <c r="L8" i="20"/>
  <c r="L34" i="20"/>
  <c r="L22" i="20"/>
  <c r="L10" i="20"/>
  <c r="L32" i="20"/>
  <c r="L33" i="20"/>
  <c r="L19" i="20"/>
  <c r="L20" i="20"/>
  <c r="K7" i="20"/>
  <c r="K6" i="20" s="1"/>
  <c r="J6" i="20"/>
  <c r="G16" i="17"/>
  <c r="G15" i="17" s="1"/>
  <c r="E6" i="17"/>
  <c r="G29" i="17"/>
  <c r="G37" i="17"/>
  <c r="G24" i="17"/>
  <c r="E43" i="17"/>
  <c r="G44" i="17"/>
  <c r="G43" i="17" s="1"/>
  <c r="G10" i="17"/>
  <c r="G9" i="17" s="1"/>
  <c r="G33" i="17"/>
  <c r="G32" i="17" s="1"/>
  <c r="E32" i="17"/>
  <c r="E9" i="17"/>
  <c r="E22" i="17"/>
  <c r="E15" i="17"/>
  <c r="E37" i="17"/>
  <c r="Y13" i="28" l="1"/>
  <c r="BD13" i="41" s="1"/>
  <c r="BI14" i="56"/>
  <c r="Y9" i="28"/>
  <c r="BD9" i="41" s="1"/>
  <c r="BI10" i="56"/>
  <c r="Y10" i="28"/>
  <c r="BD10" i="41" s="1"/>
  <c r="BI11" i="56"/>
  <c r="Y11" i="28"/>
  <c r="BD11" i="41" s="1"/>
  <c r="BI12" i="56"/>
  <c r="Y12" i="28"/>
  <c r="BD12" i="41" s="1"/>
  <c r="BI13" i="56"/>
  <c r="Q23" i="20"/>
  <c r="Y8" i="28"/>
  <c r="BD8" i="41" s="1"/>
  <c r="G4" i="29"/>
  <c r="Y72" i="30"/>
  <c r="X78" i="30"/>
  <c r="Q25" i="20"/>
  <c r="Q32" i="20"/>
  <c r="Q22" i="20"/>
  <c r="Q10" i="20"/>
  <c r="Q34" i="20"/>
  <c r="Q8" i="20"/>
  <c r="Q21" i="20"/>
  <c r="Q20" i="20"/>
  <c r="Q19" i="20"/>
  <c r="Q33" i="20"/>
  <c r="L7" i="20"/>
  <c r="L6" i="20" s="1"/>
  <c r="G22" i="17"/>
  <c r="BI8" i="56" l="1"/>
  <c r="BD7" i="41"/>
  <c r="Y7" i="28"/>
  <c r="X72" i="30"/>
  <c r="W78" i="30"/>
  <c r="Q7" i="20"/>
  <c r="G8" i="16"/>
  <c r="G9" i="16" s="1"/>
  <c r="G10" i="16" s="1"/>
  <c r="G11" i="16" s="1"/>
  <c r="G12" i="16" s="1"/>
  <c r="G13" i="16" s="1"/>
  <c r="G14" i="16" s="1"/>
  <c r="F8" i="16"/>
  <c r="F9" i="16" s="1"/>
  <c r="F10" i="16" s="1"/>
  <c r="F11" i="16" s="1"/>
  <c r="F12" i="16" s="1"/>
  <c r="F13" i="16" s="1"/>
  <c r="F14" i="16" s="1"/>
  <c r="E8" i="16"/>
  <c r="E9" i="16" s="1"/>
  <c r="E10" i="16" s="1"/>
  <c r="E11" i="16" s="1"/>
  <c r="E12" i="16" s="1"/>
  <c r="E13" i="16" s="1"/>
  <c r="E14" i="16" s="1"/>
  <c r="D8" i="16"/>
  <c r="D9" i="16" s="1"/>
  <c r="D10" i="16" s="1"/>
  <c r="D11" i="16" s="1"/>
  <c r="D12" i="16" s="1"/>
  <c r="D13" i="16" s="1"/>
  <c r="D14" i="16" s="1"/>
  <c r="C5" i="16"/>
  <c r="X42" i="14"/>
  <c r="X41" i="14"/>
  <c r="X40" i="14"/>
  <c r="X39" i="14"/>
  <c r="X38" i="14"/>
  <c r="X37" i="14"/>
  <c r="X36" i="14"/>
  <c r="X35" i="14"/>
  <c r="X34" i="14"/>
  <c r="X33" i="14"/>
  <c r="X32" i="14"/>
  <c r="X31" i="14"/>
  <c r="X30" i="14"/>
  <c r="X29" i="14"/>
  <c r="X28" i="14"/>
  <c r="X27" i="14"/>
  <c r="X26" i="14"/>
  <c r="X25" i="14"/>
  <c r="X24" i="14"/>
  <c r="X23" i="14"/>
  <c r="X22" i="14"/>
  <c r="X21" i="14"/>
  <c r="X20" i="14"/>
  <c r="X19" i="14"/>
  <c r="X18" i="14"/>
  <c r="X17" i="14"/>
  <c r="X16" i="14"/>
  <c r="X15" i="14"/>
  <c r="X14" i="14"/>
  <c r="X13" i="14"/>
  <c r="X12" i="14"/>
  <c r="X11" i="14"/>
  <c r="X10" i="14"/>
  <c r="X9" i="14"/>
  <c r="W42" i="14"/>
  <c r="W41" i="14"/>
  <c r="W40" i="14"/>
  <c r="W39" i="14"/>
  <c r="AR39" i="14" s="1"/>
  <c r="W38" i="14"/>
  <c r="AR38" i="14" s="1"/>
  <c r="W37" i="14"/>
  <c r="W36" i="14"/>
  <c r="W35" i="14"/>
  <c r="W34" i="14"/>
  <c r="W33" i="14"/>
  <c r="W32" i="14"/>
  <c r="W31" i="14"/>
  <c r="W30" i="14"/>
  <c r="W29" i="14"/>
  <c r="W28" i="14"/>
  <c r="W27" i="14"/>
  <c r="W26" i="14"/>
  <c r="W25" i="14"/>
  <c r="W24" i="14"/>
  <c r="W23" i="14"/>
  <c r="W22" i="14"/>
  <c r="W21" i="14"/>
  <c r="W20" i="14"/>
  <c r="W19" i="14"/>
  <c r="W18" i="14"/>
  <c r="W17" i="14"/>
  <c r="W16" i="14"/>
  <c r="W15" i="14"/>
  <c r="W14" i="14"/>
  <c r="W13" i="14"/>
  <c r="W12" i="14"/>
  <c r="W11" i="14"/>
  <c r="W10" i="14"/>
  <c r="W9" i="14"/>
  <c r="E66" i="46" l="1"/>
  <c r="W72" i="30"/>
  <c r="V78" i="30"/>
  <c r="Q6" i="20"/>
  <c r="AR9" i="14"/>
  <c r="AR31" i="14"/>
  <c r="W7" i="14"/>
  <c r="AR16" i="14"/>
  <c r="AR22" i="14"/>
  <c r="AR35" i="14"/>
  <c r="AR11" i="14"/>
  <c r="V72" i="30" l="1"/>
  <c r="U78" i="30"/>
  <c r="AR7" i="14"/>
  <c r="U72" i="30" l="1"/>
  <c r="T78" i="30"/>
  <c r="AF7" i="14"/>
  <c r="AP39" i="14"/>
  <c r="AP38" i="14"/>
  <c r="AP35" i="14"/>
  <c r="AP31" i="14"/>
  <c r="AP22" i="14"/>
  <c r="AP16" i="14"/>
  <c r="AP11" i="14"/>
  <c r="AP9" i="14"/>
  <c r="T72" i="30" l="1"/>
  <c r="S78" i="30"/>
  <c r="AB7" i="14"/>
  <c r="AA7" i="14"/>
  <c r="AC11" i="14"/>
  <c r="AC12" i="14"/>
  <c r="AC13" i="14"/>
  <c r="AC14" i="14"/>
  <c r="AC15" i="14"/>
  <c r="AC16" i="14"/>
  <c r="AC17" i="14"/>
  <c r="AC18" i="14"/>
  <c r="AC19" i="14"/>
  <c r="AC20" i="14"/>
  <c r="AC21" i="14"/>
  <c r="AC22" i="14"/>
  <c r="AC23" i="14"/>
  <c r="AC24" i="14"/>
  <c r="AC25" i="14"/>
  <c r="AC26" i="14"/>
  <c r="AC27" i="14"/>
  <c r="AC28" i="14"/>
  <c r="AC29" i="14"/>
  <c r="AC30" i="14"/>
  <c r="AC31" i="14"/>
  <c r="AC32" i="14"/>
  <c r="AC33" i="14"/>
  <c r="AC34" i="14"/>
  <c r="AC36" i="14"/>
  <c r="AC37" i="14"/>
  <c r="AC38" i="14"/>
  <c r="AC39" i="14"/>
  <c r="AC9" i="14"/>
  <c r="M7" i="14"/>
  <c r="O38" i="14"/>
  <c r="P38" i="14" s="1"/>
  <c r="O34" i="14"/>
  <c r="P34" i="14" s="1"/>
  <c r="O9" i="14"/>
  <c r="P9" i="14" s="1"/>
  <c r="O12" i="14"/>
  <c r="P12" i="14" s="1"/>
  <c r="O19" i="14"/>
  <c r="P19" i="14" s="1"/>
  <c r="O21" i="14"/>
  <c r="P21" i="14" s="1"/>
  <c r="O22" i="14"/>
  <c r="O35" i="14"/>
  <c r="P35" i="14" s="1"/>
  <c r="O16" i="14"/>
  <c r="P16" i="14" s="1"/>
  <c r="O31" i="14"/>
  <c r="P31" i="14" s="1"/>
  <c r="O32" i="14"/>
  <c r="P32" i="14" s="1"/>
  <c r="O11" i="14"/>
  <c r="P11" i="14" s="1"/>
  <c r="O17" i="14"/>
  <c r="P17" i="14" s="1"/>
  <c r="O18" i="14"/>
  <c r="P18" i="14" s="1"/>
  <c r="O23" i="14"/>
  <c r="P23" i="14" s="1"/>
  <c r="O24" i="14"/>
  <c r="P24" i="14" s="1"/>
  <c r="O25" i="14"/>
  <c r="P25" i="14" s="1"/>
  <c r="O33" i="14"/>
  <c r="P33" i="14" s="1"/>
  <c r="O26" i="14"/>
  <c r="P26" i="14" s="1"/>
  <c r="O20" i="14"/>
  <c r="P20" i="14" s="1"/>
  <c r="O27" i="14"/>
  <c r="P27" i="14" s="1"/>
  <c r="O13" i="14"/>
  <c r="P13" i="14" s="1"/>
  <c r="D11" i="20" s="1"/>
  <c r="F11" i="20" s="1"/>
  <c r="R11" i="20" s="1"/>
  <c r="O14" i="14"/>
  <c r="P14" i="14" s="1"/>
  <c r="O28" i="14"/>
  <c r="P28" i="14" s="1"/>
  <c r="O29" i="14"/>
  <c r="P29" i="14" s="1"/>
  <c r="O15" i="14"/>
  <c r="P15" i="14" s="1"/>
  <c r="O10" i="14"/>
  <c r="P10" i="14" s="1"/>
  <c r="O30" i="14"/>
  <c r="P30" i="14" s="1"/>
  <c r="O40" i="14"/>
  <c r="P40" i="14" s="1"/>
  <c r="T40" i="14" s="1"/>
  <c r="AD40" i="14" s="1"/>
  <c r="O36" i="14"/>
  <c r="P36" i="14" s="1"/>
  <c r="O41" i="14"/>
  <c r="P41" i="14" s="1"/>
  <c r="T41" i="14" s="1"/>
  <c r="AD41" i="14" s="1"/>
  <c r="O37" i="14"/>
  <c r="P37" i="14" s="1"/>
  <c r="O42" i="14"/>
  <c r="P42" i="14" s="1"/>
  <c r="T42" i="14" s="1"/>
  <c r="AD42" i="14" s="1"/>
  <c r="O39" i="14"/>
  <c r="P39" i="14" s="1"/>
  <c r="S72" i="30" l="1"/>
  <c r="R78" i="30"/>
  <c r="M11" i="20"/>
  <c r="N11" i="20" s="1"/>
  <c r="AI10" i="23"/>
  <c r="AJ10" i="23" s="1"/>
  <c r="T18" i="14"/>
  <c r="AD18" i="14" s="1"/>
  <c r="AE18" i="14" s="1"/>
  <c r="D16" i="20"/>
  <c r="F16" i="20" s="1"/>
  <c r="R16" i="20" s="1"/>
  <c r="T23" i="14"/>
  <c r="D21" i="20"/>
  <c r="F21" i="20" s="1"/>
  <c r="R21" i="20" s="1"/>
  <c r="T29" i="14"/>
  <c r="AD29" i="14" s="1"/>
  <c r="AE29" i="14" s="1"/>
  <c r="D27" i="20"/>
  <c r="F27" i="20" s="1"/>
  <c r="R27" i="20" s="1"/>
  <c r="T14" i="14"/>
  <c r="AD14" i="14" s="1"/>
  <c r="AE14" i="14" s="1"/>
  <c r="D12" i="20"/>
  <c r="F12" i="20" s="1"/>
  <c r="R12" i="20" s="1"/>
  <c r="T32" i="14"/>
  <c r="AD32" i="14" s="1"/>
  <c r="D30" i="20"/>
  <c r="F30" i="20" s="1"/>
  <c r="R30" i="20" s="1"/>
  <c r="T31" i="14"/>
  <c r="D29" i="20"/>
  <c r="F29" i="20" s="1"/>
  <c r="R29" i="20" s="1"/>
  <c r="T12" i="14"/>
  <c r="D10" i="20"/>
  <c r="F10" i="20" s="1"/>
  <c r="R10" i="20" s="1"/>
  <c r="T38" i="14"/>
  <c r="D36" i="20"/>
  <c r="F36" i="20" s="1"/>
  <c r="R36" i="20" s="1"/>
  <c r="T28" i="14"/>
  <c r="AD28" i="14" s="1"/>
  <c r="AE28" i="14" s="1"/>
  <c r="D26" i="20"/>
  <c r="F26" i="20" s="1"/>
  <c r="R26" i="20" s="1"/>
  <c r="T27" i="14"/>
  <c r="D25" i="20"/>
  <c r="F25" i="20" s="1"/>
  <c r="R25" i="20" s="1"/>
  <c r="T16" i="14"/>
  <c r="D14" i="20"/>
  <c r="F14" i="20" s="1"/>
  <c r="R14" i="20" s="1"/>
  <c r="T30" i="14"/>
  <c r="AD30" i="14" s="1"/>
  <c r="AE30" i="14" s="1"/>
  <c r="D28" i="20"/>
  <c r="F28" i="20" s="1"/>
  <c r="R28" i="20" s="1"/>
  <c r="T9" i="14"/>
  <c r="D7" i="20"/>
  <c r="T34" i="14"/>
  <c r="AD34" i="14" s="1"/>
  <c r="AE34" i="14" s="1"/>
  <c r="D32" i="20"/>
  <c r="F32" i="20" s="1"/>
  <c r="R32" i="20" s="1"/>
  <c r="T17" i="14"/>
  <c r="AD17" i="14" s="1"/>
  <c r="AE17" i="14" s="1"/>
  <c r="D15" i="20"/>
  <c r="F15" i="20" s="1"/>
  <c r="R15" i="20" s="1"/>
  <c r="T11" i="14"/>
  <c r="D9" i="20"/>
  <c r="F9" i="20" s="1"/>
  <c r="R9" i="20" s="1"/>
  <c r="T39" i="14"/>
  <c r="D37" i="20"/>
  <c r="F37" i="20" s="1"/>
  <c r="R37" i="20" s="1"/>
  <c r="T37" i="14"/>
  <c r="AD37" i="14" s="1"/>
  <c r="AE37" i="14" s="1"/>
  <c r="D35" i="20"/>
  <c r="F35" i="20" s="1"/>
  <c r="R35" i="20" s="1"/>
  <c r="T20" i="14"/>
  <c r="D18" i="20"/>
  <c r="F18" i="20" s="1"/>
  <c r="R18" i="20" s="1"/>
  <c r="T35" i="14"/>
  <c r="D33" i="20"/>
  <c r="F33" i="20" s="1"/>
  <c r="R33" i="20" s="1"/>
  <c r="T24" i="14"/>
  <c r="AD24" i="14" s="1"/>
  <c r="AE24" i="14" s="1"/>
  <c r="D22" i="20"/>
  <c r="F22" i="20" s="1"/>
  <c r="R22" i="20" s="1"/>
  <c r="T10" i="14"/>
  <c r="D8" i="20"/>
  <c r="F8" i="20" s="1"/>
  <c r="R8" i="20" s="1"/>
  <c r="T15" i="14"/>
  <c r="D13" i="20"/>
  <c r="F13" i="20" s="1"/>
  <c r="R13" i="20" s="1"/>
  <c r="T26" i="14"/>
  <c r="AD26" i="14" s="1"/>
  <c r="AE26" i="14" s="1"/>
  <c r="D24" i="20"/>
  <c r="F24" i="20" s="1"/>
  <c r="R24" i="20" s="1"/>
  <c r="T36" i="14"/>
  <c r="D34" i="20"/>
  <c r="F34" i="20" s="1"/>
  <c r="R34" i="20" s="1"/>
  <c r="T33" i="14"/>
  <c r="D31" i="20"/>
  <c r="F31" i="20" s="1"/>
  <c r="R31" i="20" s="1"/>
  <c r="T21" i="14"/>
  <c r="AD21" i="14" s="1"/>
  <c r="AE21" i="14" s="1"/>
  <c r="D19" i="20"/>
  <c r="F19" i="20" s="1"/>
  <c r="R19" i="20" s="1"/>
  <c r="T25" i="14"/>
  <c r="AD25" i="14" s="1"/>
  <c r="AE25" i="14" s="1"/>
  <c r="D23" i="20"/>
  <c r="F23" i="20" s="1"/>
  <c r="R23" i="20" s="1"/>
  <c r="T19" i="14"/>
  <c r="AD19" i="14" s="1"/>
  <c r="AE19" i="14" s="1"/>
  <c r="D17" i="20"/>
  <c r="F17" i="20" s="1"/>
  <c r="R17" i="20" s="1"/>
  <c r="T13" i="14"/>
  <c r="AD13" i="14" s="1"/>
  <c r="O7" i="14"/>
  <c r="P22" i="14"/>
  <c r="E24" i="7"/>
  <c r="E22" i="7"/>
  <c r="E21" i="7" s="1"/>
  <c r="E8" i="7"/>
  <c r="E5" i="44" s="1"/>
  <c r="E5" i="7"/>
  <c r="E4" i="44" s="1"/>
  <c r="AQ39" i="14" l="1"/>
  <c r="AD27" i="14"/>
  <c r="AE27" i="14" s="1"/>
  <c r="AQ31" i="14"/>
  <c r="AD33" i="14"/>
  <c r="AE33" i="14" s="1"/>
  <c r="Z35" i="14"/>
  <c r="B54" i="30"/>
  <c r="B11" i="27"/>
  <c r="B13" i="28"/>
  <c r="AD38" i="14"/>
  <c r="AE38" i="14" s="1"/>
  <c r="B14" i="28"/>
  <c r="B12" i="27"/>
  <c r="B63" i="30"/>
  <c r="AD23" i="14"/>
  <c r="AE23" i="14" s="1"/>
  <c r="AD11" i="14"/>
  <c r="AE11" i="14" s="1"/>
  <c r="B18" i="30"/>
  <c r="B9" i="28"/>
  <c r="B7" i="27"/>
  <c r="AD36" i="14"/>
  <c r="AE36" i="14" s="1"/>
  <c r="AD20" i="14"/>
  <c r="AE20" i="14" s="1"/>
  <c r="AQ9" i="14"/>
  <c r="AD9" i="14"/>
  <c r="AE9" i="14" s="1"/>
  <c r="B8" i="28"/>
  <c r="B9" i="30"/>
  <c r="B6" i="27"/>
  <c r="AD12" i="14"/>
  <c r="AE12" i="14" s="1"/>
  <c r="V38" i="14"/>
  <c r="U38" i="14" s="1"/>
  <c r="B45" i="30"/>
  <c r="B12" i="28"/>
  <c r="AD31" i="14"/>
  <c r="AE31" i="14" s="1"/>
  <c r="B10" i="27"/>
  <c r="AD15" i="14"/>
  <c r="AE15" i="14" s="1"/>
  <c r="B15" i="28"/>
  <c r="B13" i="27"/>
  <c r="AD39" i="14"/>
  <c r="B72" i="30"/>
  <c r="B27" i="30"/>
  <c r="B8" i="27"/>
  <c r="B10" i="28"/>
  <c r="AD16" i="14"/>
  <c r="AE16" i="14" s="1"/>
  <c r="R72" i="30"/>
  <c r="Q78" i="30"/>
  <c r="M30" i="20"/>
  <c r="N30" i="20" s="1"/>
  <c r="AI29" i="23"/>
  <c r="AJ29" i="23" s="1"/>
  <c r="M23" i="20"/>
  <c r="N23" i="20" s="1"/>
  <c r="AI22" i="23"/>
  <c r="AJ22" i="23" s="1"/>
  <c r="M32" i="20"/>
  <c r="N32" i="20" s="1"/>
  <c r="AI31" i="23"/>
  <c r="AJ31" i="23" s="1"/>
  <c r="M13" i="20"/>
  <c r="N13" i="20" s="1"/>
  <c r="AI12" i="23"/>
  <c r="AJ12" i="23" s="1"/>
  <c r="M36" i="20"/>
  <c r="N36" i="20" s="1"/>
  <c r="AI35" i="23"/>
  <c r="AJ35" i="23" s="1"/>
  <c r="M14" i="20"/>
  <c r="N14" i="20" s="1"/>
  <c r="AI13" i="23"/>
  <c r="AJ13" i="23" s="1"/>
  <c r="M9" i="20"/>
  <c r="N9" i="20" s="1"/>
  <c r="AI8" i="23"/>
  <c r="AJ8" i="23" s="1"/>
  <c r="M12" i="20"/>
  <c r="N12" i="20" s="1"/>
  <c r="AI11" i="23"/>
  <c r="AJ11" i="23" s="1"/>
  <c r="M15" i="20"/>
  <c r="N15" i="20" s="1"/>
  <c r="AI14" i="23"/>
  <c r="AJ14" i="23" s="1"/>
  <c r="M31" i="20"/>
  <c r="N31" i="20" s="1"/>
  <c r="AI30" i="23"/>
  <c r="AJ30" i="23" s="1"/>
  <c r="M16" i="20"/>
  <c r="N16" i="20" s="1"/>
  <c r="AI15" i="23"/>
  <c r="AJ15" i="23" s="1"/>
  <c r="M17" i="20"/>
  <c r="N17" i="20" s="1"/>
  <c r="AI16" i="23"/>
  <c r="AJ16" i="23" s="1"/>
  <c r="M8" i="20"/>
  <c r="N8" i="20" s="1"/>
  <c r="AI7" i="23"/>
  <c r="AJ7" i="23" s="1"/>
  <c r="M25" i="20"/>
  <c r="N25" i="20" s="1"/>
  <c r="AI24" i="23"/>
  <c r="AJ24" i="23" s="1"/>
  <c r="M22" i="20"/>
  <c r="N22" i="20" s="1"/>
  <c r="AI21" i="23"/>
  <c r="AJ21" i="23" s="1"/>
  <c r="M27" i="20"/>
  <c r="N27" i="20" s="1"/>
  <c r="AI26" i="23"/>
  <c r="AJ26" i="23" s="1"/>
  <c r="M33" i="20"/>
  <c r="N33" i="20" s="1"/>
  <c r="AI32" i="23"/>
  <c r="AJ32" i="23" s="1"/>
  <c r="M21" i="20"/>
  <c r="N21" i="20" s="1"/>
  <c r="AI20" i="23"/>
  <c r="AJ20" i="23" s="1"/>
  <c r="M34" i="20"/>
  <c r="N34" i="20" s="1"/>
  <c r="AI33" i="23"/>
  <c r="AJ33" i="23" s="1"/>
  <c r="M18" i="20"/>
  <c r="N18" i="20" s="1"/>
  <c r="AI17" i="23"/>
  <c r="AJ17" i="23" s="1"/>
  <c r="M10" i="20"/>
  <c r="N10" i="20" s="1"/>
  <c r="AI9" i="23"/>
  <c r="AJ9" i="23" s="1"/>
  <c r="M37" i="20"/>
  <c r="N37" i="20" s="1"/>
  <c r="AI36" i="23"/>
  <c r="AJ36" i="23" s="1"/>
  <c r="M19" i="20"/>
  <c r="N19" i="20" s="1"/>
  <c r="AI18" i="23"/>
  <c r="AJ18" i="23" s="1"/>
  <c r="M26" i="20"/>
  <c r="N26" i="20" s="1"/>
  <c r="AI25" i="23"/>
  <c r="AJ25" i="23" s="1"/>
  <c r="M24" i="20"/>
  <c r="N24" i="20" s="1"/>
  <c r="AI23" i="23"/>
  <c r="AJ23" i="23" s="1"/>
  <c r="M35" i="20"/>
  <c r="N35" i="20" s="1"/>
  <c r="AI34" i="23"/>
  <c r="AJ34" i="23" s="1"/>
  <c r="M28" i="20"/>
  <c r="N28" i="20" s="1"/>
  <c r="AI27" i="23"/>
  <c r="AJ27" i="23" s="1"/>
  <c r="M29" i="20"/>
  <c r="N29" i="20" s="1"/>
  <c r="AI28" i="23"/>
  <c r="AJ28" i="23" s="1"/>
  <c r="V9" i="14"/>
  <c r="U9" i="14" s="1"/>
  <c r="V31" i="14"/>
  <c r="U34" i="14" s="1"/>
  <c r="AQ38" i="14"/>
  <c r="AQ35" i="14"/>
  <c r="V16" i="14"/>
  <c r="U18" i="14" s="1"/>
  <c r="AQ16" i="14"/>
  <c r="V35" i="14"/>
  <c r="U36" i="14" s="1"/>
  <c r="T22" i="14"/>
  <c r="T7" i="14" s="1"/>
  <c r="D20" i="20"/>
  <c r="F20" i="20" s="1"/>
  <c r="R20" i="20" s="1"/>
  <c r="V39" i="14"/>
  <c r="U39" i="14" s="1"/>
  <c r="AC35" i="14"/>
  <c r="AD35" i="14" s="1"/>
  <c r="AE32" i="14"/>
  <c r="F7" i="20"/>
  <c r="V11" i="14"/>
  <c r="U13" i="14" s="1"/>
  <c r="AE13" i="14"/>
  <c r="AQ11" i="14"/>
  <c r="AC10" i="14"/>
  <c r="AD10" i="14" s="1"/>
  <c r="P7" i="14"/>
  <c r="B9" i="56" l="1"/>
  <c r="B8" i="53"/>
  <c r="B8" i="51"/>
  <c r="B15" i="56"/>
  <c r="B14" i="53"/>
  <c r="B14" i="51"/>
  <c r="B16" i="56"/>
  <c r="B15" i="51"/>
  <c r="B15" i="53"/>
  <c r="B14" i="56"/>
  <c r="B13" i="53"/>
  <c r="I13" i="53" s="1"/>
  <c r="AD13" i="53" s="1"/>
  <c r="B13" i="51"/>
  <c r="B13" i="56"/>
  <c r="B12" i="51"/>
  <c r="B12" i="53"/>
  <c r="B10" i="56"/>
  <c r="B9" i="51"/>
  <c r="B9" i="53"/>
  <c r="B11" i="56"/>
  <c r="B10" i="51"/>
  <c r="B10" i="53"/>
  <c r="S10" i="46"/>
  <c r="S18" i="46" s="1"/>
  <c r="S20" i="46" s="1"/>
  <c r="M10" i="7"/>
  <c r="M23" i="7" s="1"/>
  <c r="B14" i="41"/>
  <c r="CF14" i="41" s="1"/>
  <c r="G10" i="46"/>
  <c r="G18" i="46" s="1"/>
  <c r="G20" i="46" s="1"/>
  <c r="G10" i="7"/>
  <c r="G23" i="7" s="1"/>
  <c r="G25" i="7" s="1"/>
  <c r="B8" i="41"/>
  <c r="U10" i="46"/>
  <c r="U18" i="46" s="1"/>
  <c r="U20" i="46" s="1"/>
  <c r="N10" i="7"/>
  <c r="N23" i="7" s="1"/>
  <c r="N25" i="7" s="1"/>
  <c r="B15" i="41"/>
  <c r="CF15" i="41" s="1"/>
  <c r="Q10" i="46"/>
  <c r="Q18" i="46" s="1"/>
  <c r="Q20" i="46" s="1"/>
  <c r="L10" i="7"/>
  <c r="L23" i="7" s="1"/>
  <c r="L25" i="7" s="1"/>
  <c r="B13" i="41"/>
  <c r="CF13" i="41" s="1"/>
  <c r="O10" i="46"/>
  <c r="O18" i="46" s="1"/>
  <c r="O20" i="46" s="1"/>
  <c r="K10" i="7"/>
  <c r="K23" i="7" s="1"/>
  <c r="B12" i="41"/>
  <c r="CF12" i="41" s="1"/>
  <c r="I10" i="46"/>
  <c r="I18" i="46" s="1"/>
  <c r="I20" i="46" s="1"/>
  <c r="H10" i="7"/>
  <c r="H23" i="7" s="1"/>
  <c r="H25" i="7" s="1"/>
  <c r="B9" i="41"/>
  <c r="CF9" i="41" s="1"/>
  <c r="K10" i="46"/>
  <c r="K18" i="46" s="1"/>
  <c r="K20" i="46" s="1"/>
  <c r="I10" i="7"/>
  <c r="I23" i="7" s="1"/>
  <c r="I25" i="7" s="1"/>
  <c r="B10" i="41"/>
  <c r="CF10" i="41" s="1"/>
  <c r="B15" i="39"/>
  <c r="B13" i="37"/>
  <c r="B9" i="39"/>
  <c r="B7" i="37"/>
  <c r="B16" i="39"/>
  <c r="B14" i="37"/>
  <c r="B10" i="39"/>
  <c r="B8" i="37"/>
  <c r="B13" i="39"/>
  <c r="B11" i="37"/>
  <c r="B11" i="39"/>
  <c r="B9" i="37"/>
  <c r="B14" i="39"/>
  <c r="B12" i="37"/>
  <c r="AQ22" i="14"/>
  <c r="AQ7" i="14" s="1"/>
  <c r="B36" i="30"/>
  <c r="AD22" i="14"/>
  <c r="AE22" i="14" s="1"/>
  <c r="B11" i="28"/>
  <c r="B9" i="27"/>
  <c r="U33" i="14"/>
  <c r="AE39" i="14"/>
  <c r="Z7" i="14"/>
  <c r="AE35" i="14"/>
  <c r="V22" i="14"/>
  <c r="U30" i="14" s="1"/>
  <c r="U32" i="14"/>
  <c r="U37" i="14"/>
  <c r="P78" i="30"/>
  <c r="Q72" i="30"/>
  <c r="AI6" i="23"/>
  <c r="AJ6" i="23" s="1"/>
  <c r="R7" i="20"/>
  <c r="R6" i="20" s="1"/>
  <c r="M20" i="20"/>
  <c r="N20" i="20" s="1"/>
  <c r="AI19" i="23"/>
  <c r="AJ19" i="23" s="1"/>
  <c r="D6" i="20"/>
  <c r="U16" i="14"/>
  <c r="U31" i="14"/>
  <c r="U10" i="14"/>
  <c r="U19" i="14"/>
  <c r="U20" i="14"/>
  <c r="U21" i="14"/>
  <c r="U17" i="14"/>
  <c r="M7" i="20"/>
  <c r="F6" i="20"/>
  <c r="U35" i="14"/>
  <c r="U11" i="14"/>
  <c r="U12" i="14"/>
  <c r="U15" i="14"/>
  <c r="U14" i="14"/>
  <c r="AC7" i="14"/>
  <c r="E14" i="7"/>
  <c r="E7" i="44" s="1"/>
  <c r="I10" i="53" l="1"/>
  <c r="AD10" i="53" s="1"/>
  <c r="I15" i="53"/>
  <c r="AD15" i="53" s="1"/>
  <c r="I9" i="53"/>
  <c r="AD9" i="53" s="1"/>
  <c r="I14" i="53"/>
  <c r="AD14" i="53" s="1"/>
  <c r="I12" i="53"/>
  <c r="AD12" i="53" s="1"/>
  <c r="I8" i="53"/>
  <c r="B12" i="56"/>
  <c r="B8" i="56" s="1"/>
  <c r="B11" i="51"/>
  <c r="B7" i="51" s="1"/>
  <c r="B11" i="53"/>
  <c r="AJ5" i="23"/>
  <c r="K25" i="7"/>
  <c r="CF8" i="41"/>
  <c r="M25" i="7"/>
  <c r="M10" i="46"/>
  <c r="M18" i="46" s="1"/>
  <c r="M20" i="46" s="1"/>
  <c r="J10" i="7"/>
  <c r="J23" i="7" s="1"/>
  <c r="J25" i="7" s="1"/>
  <c r="B11" i="41"/>
  <c r="CF11" i="41" s="1"/>
  <c r="B12" i="39"/>
  <c r="B8" i="39" s="1"/>
  <c r="B10" i="37"/>
  <c r="U26" i="14"/>
  <c r="U27" i="14"/>
  <c r="B5" i="27"/>
  <c r="U22" i="14"/>
  <c r="B7" i="30"/>
  <c r="B7" i="28"/>
  <c r="U28" i="14"/>
  <c r="U29" i="14"/>
  <c r="V7" i="14"/>
  <c r="C3" i="34" s="1"/>
  <c r="D3" i="34" s="1"/>
  <c r="I3" i="34" s="1"/>
  <c r="U24" i="14"/>
  <c r="U23" i="14"/>
  <c r="U25" i="14"/>
  <c r="O78" i="30"/>
  <c r="P72" i="30"/>
  <c r="AI5" i="23"/>
  <c r="N7" i="20"/>
  <c r="M6" i="20"/>
  <c r="N6" i="20" s="1"/>
  <c r="AD7" i="14"/>
  <c r="AE10" i="14"/>
  <c r="AD8" i="53" l="1"/>
  <c r="I11" i="53"/>
  <c r="AD11" i="53" s="1"/>
  <c r="B7" i="53"/>
  <c r="B6" i="37"/>
  <c r="B7" i="41"/>
  <c r="CF7" i="41"/>
  <c r="AE7" i="14"/>
  <c r="F5" i="34"/>
  <c r="G5" i="34"/>
  <c r="E5" i="34"/>
  <c r="N78" i="30"/>
  <c r="M78" i="30" s="1"/>
  <c r="M72" i="30" s="1"/>
  <c r="O72" i="30"/>
  <c r="Z32" i="1"/>
  <c r="AA32" i="1" s="1"/>
  <c r="Z30" i="1"/>
  <c r="AA30" i="1" s="1"/>
  <c r="Z28" i="1"/>
  <c r="AA28" i="1" s="1"/>
  <c r="Z27" i="1"/>
  <c r="AA27" i="1" s="1"/>
  <c r="Z26" i="1"/>
  <c r="AA26" i="1" s="1"/>
  <c r="Z25" i="1"/>
  <c r="AA25" i="1" s="1"/>
  <c r="Z24" i="1"/>
  <c r="AA24" i="1" s="1"/>
  <c r="Z23" i="1"/>
  <c r="AA23" i="1" s="1"/>
  <c r="Z22" i="1"/>
  <c r="AA22" i="1" s="1"/>
  <c r="Z21" i="1"/>
  <c r="AA21" i="1" s="1"/>
  <c r="Z20" i="1"/>
  <c r="AA20" i="1" s="1"/>
  <c r="Z19" i="1"/>
  <c r="AA19" i="1" s="1"/>
  <c r="Z18" i="1"/>
  <c r="AA18" i="1" s="1"/>
  <c r="Z17" i="1"/>
  <c r="AA17" i="1" s="1"/>
  <c r="Z16" i="1"/>
  <c r="AA16" i="1" s="1"/>
  <c r="Z15" i="1"/>
  <c r="AA15" i="1" s="1"/>
  <c r="Z14" i="1"/>
  <c r="AA14" i="1" s="1"/>
  <c r="Z13" i="1"/>
  <c r="AA13" i="1" s="1"/>
  <c r="Z12" i="1"/>
  <c r="AA12" i="1" s="1"/>
  <c r="Z11" i="1"/>
  <c r="AA11" i="1" s="1"/>
  <c r="Z10" i="1"/>
  <c r="AA10" i="1" s="1"/>
  <c r="Z9" i="1"/>
  <c r="AA9" i="1" s="1"/>
  <c r="Z8" i="1"/>
  <c r="Z7" i="1"/>
  <c r="AA7" i="1" s="1"/>
  <c r="Z6" i="1"/>
  <c r="AA6" i="1" s="1"/>
  <c r="Z5" i="1"/>
  <c r="AA5" i="1" s="1"/>
  <c r="I7" i="53" l="1"/>
  <c r="C13" i="53"/>
  <c r="C15" i="53"/>
  <c r="C12" i="53"/>
  <c r="C10" i="53"/>
  <c r="C8" i="53"/>
  <c r="C9" i="53"/>
  <c r="C14" i="53"/>
  <c r="C11" i="53"/>
  <c r="AD7" i="53"/>
  <c r="E39" i="44" s="1"/>
  <c r="G6" i="34"/>
  <c r="G7" i="34" s="1"/>
  <c r="AJ5" i="14" s="1"/>
  <c r="G8" i="34"/>
  <c r="F6" i="34"/>
  <c r="F7" i="34" s="1"/>
  <c r="AI5" i="14" s="1"/>
  <c r="F8" i="34"/>
  <c r="E6" i="34"/>
  <c r="E7" i="34" s="1"/>
  <c r="E8" i="34"/>
  <c r="H5" i="34"/>
  <c r="M7" i="30"/>
  <c r="N72" i="30"/>
  <c r="Z3" i="1"/>
  <c r="AA8" i="1"/>
  <c r="AA3" i="1" s="1"/>
  <c r="AK30" i="1"/>
  <c r="AK28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M32" i="1"/>
  <c r="N32" i="1" s="1"/>
  <c r="AB32" i="1" s="1"/>
  <c r="AC32" i="1" s="1"/>
  <c r="AD32" i="1" s="1"/>
  <c r="AE32" i="1" s="1"/>
  <c r="AF32" i="1" s="1"/>
  <c r="AG32" i="1" s="1"/>
  <c r="M30" i="1"/>
  <c r="N30" i="1" s="1"/>
  <c r="AB30" i="1" s="1"/>
  <c r="AC30" i="1" s="1"/>
  <c r="AD30" i="1" s="1"/>
  <c r="AE30" i="1" s="1"/>
  <c r="AF30" i="1" s="1"/>
  <c r="AG30" i="1" s="1"/>
  <c r="M28" i="1"/>
  <c r="N28" i="1" s="1"/>
  <c r="AB28" i="1" s="1"/>
  <c r="AC28" i="1" s="1"/>
  <c r="AD28" i="1" s="1"/>
  <c r="AE28" i="1" s="1"/>
  <c r="AF28" i="1" s="1"/>
  <c r="AG28" i="1" s="1"/>
  <c r="M27" i="1"/>
  <c r="N27" i="1" s="1"/>
  <c r="AB27" i="1" s="1"/>
  <c r="AC27" i="1" s="1"/>
  <c r="AD27" i="1" s="1"/>
  <c r="AE27" i="1" s="1"/>
  <c r="AF27" i="1" s="1"/>
  <c r="AG27" i="1" s="1"/>
  <c r="M26" i="1"/>
  <c r="N26" i="1" s="1"/>
  <c r="AB26" i="1" s="1"/>
  <c r="AC26" i="1" s="1"/>
  <c r="AD26" i="1" s="1"/>
  <c r="AE26" i="1" s="1"/>
  <c r="AF26" i="1" s="1"/>
  <c r="AG26" i="1" s="1"/>
  <c r="M25" i="1"/>
  <c r="N25" i="1" s="1"/>
  <c r="AB25" i="1" s="1"/>
  <c r="AC25" i="1" s="1"/>
  <c r="AD25" i="1" s="1"/>
  <c r="AE25" i="1" s="1"/>
  <c r="AF25" i="1" s="1"/>
  <c r="AG25" i="1" s="1"/>
  <c r="M24" i="1"/>
  <c r="N24" i="1" s="1"/>
  <c r="AB24" i="1" s="1"/>
  <c r="AC24" i="1" s="1"/>
  <c r="AD24" i="1" s="1"/>
  <c r="AE24" i="1" s="1"/>
  <c r="AF24" i="1" s="1"/>
  <c r="AG24" i="1" s="1"/>
  <c r="M23" i="1"/>
  <c r="N23" i="1" s="1"/>
  <c r="AB23" i="1" s="1"/>
  <c r="AC23" i="1" s="1"/>
  <c r="AD23" i="1" s="1"/>
  <c r="AE23" i="1" s="1"/>
  <c r="AF23" i="1" s="1"/>
  <c r="AG23" i="1" s="1"/>
  <c r="M22" i="1"/>
  <c r="N22" i="1" s="1"/>
  <c r="AB22" i="1" s="1"/>
  <c r="AC22" i="1" s="1"/>
  <c r="AD22" i="1" s="1"/>
  <c r="AE22" i="1" s="1"/>
  <c r="AF22" i="1" s="1"/>
  <c r="AG22" i="1" s="1"/>
  <c r="M21" i="1"/>
  <c r="N21" i="1" s="1"/>
  <c r="AB21" i="1" s="1"/>
  <c r="AC21" i="1" s="1"/>
  <c r="AD21" i="1" s="1"/>
  <c r="AE21" i="1" s="1"/>
  <c r="AF21" i="1" s="1"/>
  <c r="AG21" i="1" s="1"/>
  <c r="M20" i="1"/>
  <c r="N20" i="1" s="1"/>
  <c r="AB20" i="1" s="1"/>
  <c r="AC20" i="1" s="1"/>
  <c r="AD20" i="1" s="1"/>
  <c r="AE20" i="1" s="1"/>
  <c r="AF20" i="1" s="1"/>
  <c r="AG20" i="1" s="1"/>
  <c r="M19" i="1"/>
  <c r="N19" i="1" s="1"/>
  <c r="AB19" i="1" s="1"/>
  <c r="AC19" i="1" s="1"/>
  <c r="AD19" i="1" s="1"/>
  <c r="AE19" i="1" s="1"/>
  <c r="AF19" i="1" s="1"/>
  <c r="AG19" i="1" s="1"/>
  <c r="M18" i="1"/>
  <c r="N18" i="1" s="1"/>
  <c r="AB18" i="1" s="1"/>
  <c r="AC18" i="1" s="1"/>
  <c r="AD18" i="1" s="1"/>
  <c r="AE18" i="1" s="1"/>
  <c r="AF18" i="1" s="1"/>
  <c r="AG18" i="1" s="1"/>
  <c r="M17" i="1"/>
  <c r="N17" i="1" s="1"/>
  <c r="AB17" i="1" s="1"/>
  <c r="AC17" i="1" s="1"/>
  <c r="AD17" i="1" s="1"/>
  <c r="AE17" i="1" s="1"/>
  <c r="AF17" i="1" s="1"/>
  <c r="AG17" i="1" s="1"/>
  <c r="M16" i="1"/>
  <c r="N16" i="1" s="1"/>
  <c r="AB16" i="1" s="1"/>
  <c r="AC16" i="1" s="1"/>
  <c r="AD16" i="1" s="1"/>
  <c r="AE16" i="1" s="1"/>
  <c r="AF16" i="1" s="1"/>
  <c r="AG16" i="1" s="1"/>
  <c r="M15" i="1"/>
  <c r="N15" i="1" s="1"/>
  <c r="AB15" i="1" s="1"/>
  <c r="AC15" i="1" s="1"/>
  <c r="AD15" i="1" s="1"/>
  <c r="AE15" i="1" s="1"/>
  <c r="M14" i="1"/>
  <c r="N14" i="1" s="1"/>
  <c r="AB14" i="1" s="1"/>
  <c r="AC14" i="1" s="1"/>
  <c r="AD14" i="1" s="1"/>
  <c r="AE14" i="1" s="1"/>
  <c r="AF14" i="1" s="1"/>
  <c r="AG14" i="1" s="1"/>
  <c r="M13" i="1"/>
  <c r="N13" i="1" s="1"/>
  <c r="AB13" i="1" s="1"/>
  <c r="AC13" i="1" s="1"/>
  <c r="AD13" i="1" s="1"/>
  <c r="AE13" i="1" s="1"/>
  <c r="AF13" i="1" s="1"/>
  <c r="AG13" i="1" s="1"/>
  <c r="M12" i="1"/>
  <c r="N12" i="1" s="1"/>
  <c r="AB12" i="1" s="1"/>
  <c r="AC12" i="1" s="1"/>
  <c r="AD12" i="1" s="1"/>
  <c r="AE12" i="1" s="1"/>
  <c r="AF12" i="1" s="1"/>
  <c r="AG12" i="1" s="1"/>
  <c r="M11" i="1"/>
  <c r="N11" i="1" s="1"/>
  <c r="AB11" i="1" s="1"/>
  <c r="AC11" i="1" s="1"/>
  <c r="AD11" i="1" s="1"/>
  <c r="AE11" i="1" s="1"/>
  <c r="AF11" i="1" s="1"/>
  <c r="AG11" i="1" s="1"/>
  <c r="M10" i="1"/>
  <c r="N10" i="1" s="1"/>
  <c r="AB10" i="1" s="1"/>
  <c r="AC10" i="1" s="1"/>
  <c r="AD10" i="1" s="1"/>
  <c r="AE10" i="1" s="1"/>
  <c r="AF10" i="1" s="1"/>
  <c r="AG10" i="1" s="1"/>
  <c r="M9" i="1"/>
  <c r="N9" i="1" s="1"/>
  <c r="AB9" i="1" s="1"/>
  <c r="AC9" i="1" s="1"/>
  <c r="AD9" i="1" s="1"/>
  <c r="AE9" i="1" s="1"/>
  <c r="AF9" i="1" s="1"/>
  <c r="AG9" i="1" s="1"/>
  <c r="M8" i="1"/>
  <c r="N8" i="1" s="1"/>
  <c r="AB8" i="1" s="1"/>
  <c r="AC8" i="1" s="1"/>
  <c r="AD8" i="1" s="1"/>
  <c r="AE8" i="1" s="1"/>
  <c r="AF8" i="1" s="1"/>
  <c r="AG8" i="1" s="1"/>
  <c r="M7" i="1"/>
  <c r="N7" i="1" s="1"/>
  <c r="AB7" i="1" s="1"/>
  <c r="AC7" i="1" s="1"/>
  <c r="AD7" i="1" s="1"/>
  <c r="AE7" i="1" s="1"/>
  <c r="AF7" i="1" s="1"/>
  <c r="AG7" i="1" s="1"/>
  <c r="M6" i="1"/>
  <c r="N6" i="1" s="1"/>
  <c r="AB6" i="1" s="1"/>
  <c r="AC6" i="1" s="1"/>
  <c r="AD6" i="1" s="1"/>
  <c r="AE6" i="1" s="1"/>
  <c r="AF6" i="1" s="1"/>
  <c r="AG6" i="1" s="1"/>
  <c r="M5" i="1"/>
  <c r="N5" i="1" s="1"/>
  <c r="X3" i="1"/>
  <c r="W3" i="1"/>
  <c r="AL11" i="1" l="1"/>
  <c r="AL23" i="1"/>
  <c r="E4" i="46"/>
  <c r="E10" i="46" s="1"/>
  <c r="E4" i="7"/>
  <c r="E3" i="44" s="1"/>
  <c r="AJ37" i="14"/>
  <c r="AJ20" i="14"/>
  <c r="AJ17" i="14"/>
  <c r="AJ21" i="14"/>
  <c r="AJ34" i="14"/>
  <c r="AJ31" i="14"/>
  <c r="AJ28" i="14"/>
  <c r="AJ18" i="14"/>
  <c r="AJ12" i="14"/>
  <c r="AJ42" i="14"/>
  <c r="AJ14" i="14"/>
  <c r="AJ11" i="14"/>
  <c r="AJ35" i="14"/>
  <c r="AJ25" i="14"/>
  <c r="AJ15" i="14"/>
  <c r="AJ39" i="14"/>
  <c r="AJ36" i="14"/>
  <c r="AJ22" i="14"/>
  <c r="AJ19" i="14"/>
  <c r="AJ16" i="14"/>
  <c r="AJ33" i="14"/>
  <c r="AJ30" i="14"/>
  <c r="AJ9" i="14"/>
  <c r="AJ41" i="14"/>
  <c r="AJ13" i="14"/>
  <c r="AJ27" i="14"/>
  <c r="AJ24" i="14"/>
  <c r="AJ10" i="14"/>
  <c r="AJ38" i="14"/>
  <c r="AJ32" i="14"/>
  <c r="AJ29" i="14"/>
  <c r="AJ40" i="14"/>
  <c r="AJ26" i="14"/>
  <c r="AJ23" i="14"/>
  <c r="AI26" i="14"/>
  <c r="AI23" i="14"/>
  <c r="AI37" i="14"/>
  <c r="AI20" i="14"/>
  <c r="AI17" i="14"/>
  <c r="AI32" i="14"/>
  <c r="AI34" i="14"/>
  <c r="AI31" i="14"/>
  <c r="AI28" i="14"/>
  <c r="AI42" i="14"/>
  <c r="AI14" i="14"/>
  <c r="AI11" i="14"/>
  <c r="AI10" i="14"/>
  <c r="AI25" i="14"/>
  <c r="AI39" i="14"/>
  <c r="AI36" i="14"/>
  <c r="AI22" i="14"/>
  <c r="AI19" i="14"/>
  <c r="AI16" i="14"/>
  <c r="AI29" i="14"/>
  <c r="AI33" i="14"/>
  <c r="AI30" i="14"/>
  <c r="AI9" i="14"/>
  <c r="AI24" i="14"/>
  <c r="AI41" i="14"/>
  <c r="AI13" i="14"/>
  <c r="AI38" i="14"/>
  <c r="AI35" i="14"/>
  <c r="AI21" i="14"/>
  <c r="AI18" i="14"/>
  <c r="AI40" i="14"/>
  <c r="AI15" i="14"/>
  <c r="AI12" i="14"/>
  <c r="AI27" i="14"/>
  <c r="AH5" i="14"/>
  <c r="H8" i="34"/>
  <c r="I8" i="34" s="1"/>
  <c r="AL9" i="1"/>
  <c r="AL21" i="1"/>
  <c r="AL10" i="1"/>
  <c r="AL22" i="1"/>
  <c r="AL8" i="1"/>
  <c r="AL20" i="1"/>
  <c r="AL28" i="1"/>
  <c r="AL17" i="1"/>
  <c r="AL30" i="1"/>
  <c r="AL6" i="1"/>
  <c r="AL18" i="1"/>
  <c r="AK32" i="1"/>
  <c r="AL32" i="1" s="1"/>
  <c r="AL7" i="1"/>
  <c r="AL19" i="1"/>
  <c r="AF15" i="1"/>
  <c r="AG15" i="1" s="1"/>
  <c r="AL15" i="1"/>
  <c r="AL12" i="1"/>
  <c r="AL24" i="1"/>
  <c r="AL13" i="1"/>
  <c r="AL25" i="1"/>
  <c r="AL14" i="1"/>
  <c r="AL26" i="1"/>
  <c r="AK27" i="1"/>
  <c r="AL27" i="1" s="1"/>
  <c r="AL16" i="1"/>
  <c r="M3" i="1"/>
  <c r="AB5" i="1"/>
  <c r="AC5" i="1" s="1"/>
  <c r="AD5" i="1" s="1"/>
  <c r="E12" i="46" l="1"/>
  <c r="E18" i="46"/>
  <c r="E18" i="30"/>
  <c r="E18" i="35"/>
  <c r="E7" i="27"/>
  <c r="E45" i="30"/>
  <c r="E45" i="35"/>
  <c r="E10" i="27"/>
  <c r="D45" i="30"/>
  <c r="D45" i="35"/>
  <c r="D10" i="27"/>
  <c r="E9" i="35"/>
  <c r="E9" i="30"/>
  <c r="E6" i="27"/>
  <c r="D18" i="30"/>
  <c r="D18" i="35"/>
  <c r="D7" i="27"/>
  <c r="D9" i="35"/>
  <c r="D9" i="30"/>
  <c r="D6" i="27"/>
  <c r="E27" i="35"/>
  <c r="E27" i="30"/>
  <c r="E8" i="27"/>
  <c r="E36" i="30"/>
  <c r="E36" i="35"/>
  <c r="E9" i="27"/>
  <c r="AT16" i="14"/>
  <c r="D27" i="35"/>
  <c r="D27" i="30"/>
  <c r="D8" i="27"/>
  <c r="AU38" i="14"/>
  <c r="E63" i="35"/>
  <c r="E63" i="30"/>
  <c r="E12" i="27"/>
  <c r="AU39" i="14"/>
  <c r="E72" i="35"/>
  <c r="E72" i="30"/>
  <c r="E13" i="27"/>
  <c r="D54" i="35"/>
  <c r="D54" i="30"/>
  <c r="D11" i="27"/>
  <c r="AT22" i="14"/>
  <c r="D36" i="35"/>
  <c r="D36" i="30"/>
  <c r="D9" i="27"/>
  <c r="AT38" i="14"/>
  <c r="D63" i="35"/>
  <c r="D63" i="30"/>
  <c r="D12" i="27"/>
  <c r="AT39" i="14"/>
  <c r="D72" i="35"/>
  <c r="D72" i="30"/>
  <c r="D13" i="27"/>
  <c r="AU35" i="14"/>
  <c r="E54" i="35"/>
  <c r="E54" i="30"/>
  <c r="E11" i="27"/>
  <c r="AT11" i="14"/>
  <c r="AU16" i="14"/>
  <c r="AU9" i="14"/>
  <c r="AT9" i="14"/>
  <c r="AT31" i="14"/>
  <c r="AU22" i="14"/>
  <c r="AU31" i="14"/>
  <c r="AT35" i="14"/>
  <c r="AU11" i="14"/>
  <c r="AH40" i="14"/>
  <c r="AK40" i="14" s="1"/>
  <c r="AL40" i="14" s="1"/>
  <c r="AH15" i="14"/>
  <c r="AK15" i="14" s="1"/>
  <c r="AL15" i="14" s="1"/>
  <c r="AH12" i="14"/>
  <c r="AK12" i="14" s="1"/>
  <c r="AL12" i="14" s="1"/>
  <c r="AH41" i="14"/>
  <c r="AK41" i="14" s="1"/>
  <c r="AL41" i="14" s="1"/>
  <c r="AH13" i="14"/>
  <c r="AK13" i="14" s="1"/>
  <c r="AL13" i="14" s="1"/>
  <c r="AH26" i="14"/>
  <c r="AK26" i="14" s="1"/>
  <c r="AL26" i="14" s="1"/>
  <c r="AH23" i="14"/>
  <c r="AK23" i="14" s="1"/>
  <c r="AL23" i="14" s="1"/>
  <c r="AH37" i="14"/>
  <c r="AK37" i="14" s="1"/>
  <c r="AL37" i="14" s="1"/>
  <c r="AH20" i="14"/>
  <c r="AK20" i="14" s="1"/>
  <c r="AL20" i="14" s="1"/>
  <c r="AH17" i="14"/>
  <c r="AK17" i="14" s="1"/>
  <c r="AL17" i="14" s="1"/>
  <c r="AH34" i="14"/>
  <c r="AK34" i="14" s="1"/>
  <c r="AL34" i="14" s="1"/>
  <c r="AH31" i="14"/>
  <c r="AH28" i="14"/>
  <c r="AK28" i="14" s="1"/>
  <c r="AL28" i="14" s="1"/>
  <c r="AH38" i="14"/>
  <c r="AH42" i="14"/>
  <c r="AK42" i="14" s="1"/>
  <c r="AL42" i="14" s="1"/>
  <c r="AH14" i="14"/>
  <c r="AH11" i="14"/>
  <c r="AH25" i="14"/>
  <c r="AK25" i="14" s="1"/>
  <c r="AL25" i="14" s="1"/>
  <c r="AH39" i="14"/>
  <c r="AH36" i="14"/>
  <c r="AK36" i="14" s="1"/>
  <c r="AL36" i="14" s="1"/>
  <c r="AH22" i="14"/>
  <c r="AH19" i="14"/>
  <c r="AK19" i="14" s="1"/>
  <c r="AL19" i="14" s="1"/>
  <c r="AH16" i="14"/>
  <c r="AH33" i="14"/>
  <c r="AK33" i="14" s="1"/>
  <c r="AL33" i="14" s="1"/>
  <c r="AH30" i="14"/>
  <c r="AK30" i="14" s="1"/>
  <c r="AL30" i="14" s="1"/>
  <c r="AH9" i="14"/>
  <c r="AH27" i="14"/>
  <c r="AK27" i="14" s="1"/>
  <c r="AL27" i="14" s="1"/>
  <c r="AH24" i="14"/>
  <c r="AK24" i="14" s="1"/>
  <c r="AL24" i="14" s="1"/>
  <c r="AH10" i="14"/>
  <c r="AK10" i="14" s="1"/>
  <c r="AL10" i="14" s="1"/>
  <c r="AH21" i="14"/>
  <c r="AK21" i="14" s="1"/>
  <c r="AL21" i="14" s="1"/>
  <c r="AH18" i="14"/>
  <c r="AK18" i="14" s="1"/>
  <c r="AL18" i="14" s="1"/>
  <c r="AH32" i="14"/>
  <c r="AK32" i="14" s="1"/>
  <c r="AL32" i="14" s="1"/>
  <c r="AH29" i="14"/>
  <c r="AH35" i="14"/>
  <c r="AK29" i="14"/>
  <c r="AL29" i="14" s="1"/>
  <c r="AI7" i="14"/>
  <c r="AJ7" i="14"/>
  <c r="AE5" i="1"/>
  <c r="AF5" i="1" s="1"/>
  <c r="AG5" i="1" s="1"/>
  <c r="AH5" i="1" s="1" a="1"/>
  <c r="AH5" i="1" s="1"/>
  <c r="AK3" i="1"/>
  <c r="N3" i="1"/>
  <c r="AN21" i="14" l="1"/>
  <c r="AM21" i="14" s="1"/>
  <c r="AN13" i="14"/>
  <c r="AM13" i="14"/>
  <c r="AN15" i="14"/>
  <c r="AM15" i="14"/>
  <c r="AN10" i="14"/>
  <c r="AM10" i="14" s="1"/>
  <c r="AN12" i="14"/>
  <c r="AM12" i="14" s="1"/>
  <c r="AN30" i="14"/>
  <c r="AM30" i="14" s="1"/>
  <c r="AN26" i="14"/>
  <c r="AM26" i="14" s="1"/>
  <c r="AN17" i="14"/>
  <c r="AM17" i="14" s="1"/>
  <c r="AN24" i="14"/>
  <c r="AM24" i="14" s="1"/>
  <c r="AN28" i="14"/>
  <c r="AM28" i="14" s="1"/>
  <c r="AN25" i="14"/>
  <c r="AM25" i="14"/>
  <c r="AN33" i="14"/>
  <c r="AM33" i="14" s="1"/>
  <c r="AN29" i="14"/>
  <c r="AM29" i="14" s="1"/>
  <c r="AN34" i="14"/>
  <c r="AM34" i="14" s="1"/>
  <c r="AN19" i="14"/>
  <c r="AM19" i="14" s="1"/>
  <c r="AN20" i="14"/>
  <c r="AM20" i="14" s="1"/>
  <c r="AN32" i="14"/>
  <c r="AM32" i="14" s="1"/>
  <c r="AN36" i="14"/>
  <c r="AM36" i="14" s="1"/>
  <c r="AN37" i="14"/>
  <c r="AM37" i="14" s="1"/>
  <c r="AN27" i="14"/>
  <c r="AM27" i="14" s="1"/>
  <c r="AN18" i="14"/>
  <c r="AM18" i="14" s="1"/>
  <c r="AN23" i="14"/>
  <c r="AM23" i="14" s="1"/>
  <c r="E13" i="28"/>
  <c r="R13" i="28" s="1"/>
  <c r="Q24" i="46"/>
  <c r="L29" i="7"/>
  <c r="E12" i="28"/>
  <c r="S12" i="28" s="1"/>
  <c r="O24" i="46"/>
  <c r="K29" i="7"/>
  <c r="D12" i="28"/>
  <c r="P12" i="28" s="1"/>
  <c r="O23" i="46"/>
  <c r="K28" i="7"/>
  <c r="D10" i="28"/>
  <c r="P10" i="28" s="1"/>
  <c r="K23" i="46"/>
  <c r="I28" i="7"/>
  <c r="D13" i="28"/>
  <c r="O13" i="28" s="1"/>
  <c r="Q23" i="46"/>
  <c r="L28" i="7"/>
  <c r="D9" i="28"/>
  <c r="P9" i="28" s="1"/>
  <c r="I23" i="46"/>
  <c r="H28" i="7"/>
  <c r="E10" i="28"/>
  <c r="S10" i="28" s="1"/>
  <c r="K24" i="46"/>
  <c r="I29" i="7"/>
  <c r="E9" i="28"/>
  <c r="R9" i="28" s="1"/>
  <c r="I24" i="46"/>
  <c r="H29" i="7"/>
  <c r="D11" i="28"/>
  <c r="O11" i="28" s="1"/>
  <c r="M23" i="46"/>
  <c r="J28" i="7"/>
  <c r="E15" i="28"/>
  <c r="S15" i="28" s="1"/>
  <c r="U24" i="46"/>
  <c r="N29" i="7"/>
  <c r="G24" i="46"/>
  <c r="G29" i="7"/>
  <c r="G23" i="46"/>
  <c r="G28" i="7"/>
  <c r="E11" i="28"/>
  <c r="R11" i="28" s="1"/>
  <c r="M24" i="46"/>
  <c r="J29" i="7"/>
  <c r="E14" i="28"/>
  <c r="R14" i="28" s="1"/>
  <c r="S24" i="46"/>
  <c r="M29" i="7"/>
  <c r="D15" i="28"/>
  <c r="P15" i="28" s="1"/>
  <c r="U23" i="46"/>
  <c r="N28" i="7"/>
  <c r="D14" i="28"/>
  <c r="P14" i="28" s="1"/>
  <c r="S23" i="46"/>
  <c r="M28" i="7"/>
  <c r="E25" i="46"/>
  <c r="E20" i="46"/>
  <c r="AE3" i="1"/>
  <c r="E10" i="7" s="1"/>
  <c r="E12" i="7" s="1"/>
  <c r="E7" i="30"/>
  <c r="E7" i="35"/>
  <c r="C9" i="35"/>
  <c r="C9" i="30"/>
  <c r="C6" i="27"/>
  <c r="C63" i="35"/>
  <c r="F63" i="35" s="1"/>
  <c r="G63" i="35" s="1"/>
  <c r="C63" i="30"/>
  <c r="F63" i="30" s="1"/>
  <c r="G63" i="30" s="1"/>
  <c r="C12" i="27"/>
  <c r="D8" i="28"/>
  <c r="D5" i="27"/>
  <c r="D7" i="30"/>
  <c r="C45" i="35"/>
  <c r="F45" i="35" s="1"/>
  <c r="G45" i="35" s="1"/>
  <c r="C45" i="30"/>
  <c r="F45" i="30" s="1"/>
  <c r="G45" i="30" s="1"/>
  <c r="C10" i="27"/>
  <c r="D7" i="35"/>
  <c r="C27" i="30"/>
  <c r="F27" i="30" s="1"/>
  <c r="G27" i="30" s="1"/>
  <c r="C27" i="35"/>
  <c r="F27" i="35" s="1"/>
  <c r="G27" i="35" s="1"/>
  <c r="C8" i="27"/>
  <c r="C18" i="30"/>
  <c r="F18" i="30" s="1"/>
  <c r="G18" i="30" s="1"/>
  <c r="C18" i="35"/>
  <c r="F18" i="35" s="1"/>
  <c r="G18" i="35" s="1"/>
  <c r="C7" i="27"/>
  <c r="C54" i="30"/>
  <c r="F54" i="30" s="1"/>
  <c r="G54" i="30" s="1"/>
  <c r="C54" i="35"/>
  <c r="F54" i="35" s="1"/>
  <c r="G54" i="35" s="1"/>
  <c r="C11" i="27"/>
  <c r="E8" i="28"/>
  <c r="E5" i="27"/>
  <c r="C72" i="30"/>
  <c r="F72" i="30" s="1"/>
  <c r="G72" i="30" s="1"/>
  <c r="C72" i="35"/>
  <c r="F72" i="35" s="1"/>
  <c r="G72" i="35" s="1"/>
  <c r="C13" i="27"/>
  <c r="C36" i="30"/>
  <c r="F36" i="30" s="1"/>
  <c r="G36" i="30" s="1"/>
  <c r="C36" i="35"/>
  <c r="F36" i="35" s="1"/>
  <c r="G36" i="35" s="1"/>
  <c r="C9" i="27"/>
  <c r="AK11" i="14"/>
  <c r="AL11" i="14" s="1"/>
  <c r="AS11" i="14"/>
  <c r="AV11" i="14" s="1"/>
  <c r="AK9" i="14"/>
  <c r="AL9" i="14" s="1"/>
  <c r="AS9" i="14"/>
  <c r="AK38" i="14"/>
  <c r="AL38" i="14" s="1"/>
  <c r="AS38" i="14"/>
  <c r="AV38" i="14" s="1"/>
  <c r="AK16" i="14"/>
  <c r="AL16" i="14" s="1"/>
  <c r="AS16" i="14"/>
  <c r="AV16" i="14" s="1"/>
  <c r="AK31" i="14"/>
  <c r="AL31" i="14" s="1"/>
  <c r="AS31" i="14"/>
  <c r="AV31" i="14" s="1"/>
  <c r="AK35" i="14"/>
  <c r="AL35" i="14" s="1"/>
  <c r="AS35" i="14"/>
  <c r="AV35" i="14" s="1"/>
  <c r="AK22" i="14"/>
  <c r="AL22" i="14" s="1"/>
  <c r="AS22" i="14"/>
  <c r="AV22" i="14" s="1"/>
  <c r="AK39" i="14"/>
  <c r="AL39" i="14" s="1"/>
  <c r="AS39" i="14"/>
  <c r="AV39" i="14" s="1"/>
  <c r="AT7" i="14"/>
  <c r="F9" i="34" s="1"/>
  <c r="F10" i="34" s="1"/>
  <c r="AU7" i="14"/>
  <c r="G9" i="34" s="1"/>
  <c r="G10" i="34" s="1"/>
  <c r="AH7" i="14"/>
  <c r="AK14" i="14"/>
  <c r="AL14" i="14" s="1"/>
  <c r="AL5" i="1"/>
  <c r="AL3" i="1" s="1"/>
  <c r="O15" i="28" l="1"/>
  <c r="AN35" i="14"/>
  <c r="AM35" i="14"/>
  <c r="AX35" i="14" s="1"/>
  <c r="AN14" i="14"/>
  <c r="AM14" i="14" s="1"/>
  <c r="AW9" i="14"/>
  <c r="AN9" i="14"/>
  <c r="AM9" i="14" s="1"/>
  <c r="AX9" i="14" s="1"/>
  <c r="AW31" i="14"/>
  <c r="AN31" i="14"/>
  <c r="AM31" i="14" s="1"/>
  <c r="AX31" i="14" s="1"/>
  <c r="AN16" i="14"/>
  <c r="AM16" i="14" s="1"/>
  <c r="AX16" i="14" s="1"/>
  <c r="AW38" i="14"/>
  <c r="AN38" i="14"/>
  <c r="AM38" i="14" s="1"/>
  <c r="AX38" i="14" s="1"/>
  <c r="AN39" i="14"/>
  <c r="AM39" i="14" s="1"/>
  <c r="AX39" i="14" s="1"/>
  <c r="AN22" i="14"/>
  <c r="AM22" i="14" s="1"/>
  <c r="AX22" i="14" s="1"/>
  <c r="AN11" i="14"/>
  <c r="AM11" i="14" s="1"/>
  <c r="R15" i="28"/>
  <c r="T15" i="28" s="1"/>
  <c r="S14" i="28"/>
  <c r="T14" i="28" s="1"/>
  <c r="S9" i="28"/>
  <c r="T9" i="28" s="1"/>
  <c r="O9" i="28"/>
  <c r="Q9" i="28" s="1"/>
  <c r="R12" i="28"/>
  <c r="T12" i="28" s="1"/>
  <c r="O14" i="28"/>
  <c r="Q14" i="28" s="1"/>
  <c r="E28" i="7"/>
  <c r="E13" i="44" s="1"/>
  <c r="P13" i="28"/>
  <c r="Q13" i="28" s="1"/>
  <c r="P11" i="28"/>
  <c r="S13" i="28"/>
  <c r="T13" i="28" s="1"/>
  <c r="R10" i="28"/>
  <c r="T10" i="28" s="1"/>
  <c r="O12" i="28"/>
  <c r="Q12" i="28" s="1"/>
  <c r="K22" i="46"/>
  <c r="K21" i="46" s="1"/>
  <c r="K26" i="46" s="1"/>
  <c r="I27" i="7"/>
  <c r="I26" i="7" s="1"/>
  <c r="I31" i="7" s="1"/>
  <c r="K8" i="27"/>
  <c r="U22" i="46"/>
  <c r="U21" i="46" s="1"/>
  <c r="U26" i="46" s="1"/>
  <c r="N27" i="7"/>
  <c r="N26" i="7" s="1"/>
  <c r="N31" i="7" s="1"/>
  <c r="K13" i="27"/>
  <c r="E24" i="46"/>
  <c r="E23" i="46"/>
  <c r="E29" i="7"/>
  <c r="O10" i="28"/>
  <c r="Q10" i="28" s="1"/>
  <c r="I22" i="46"/>
  <c r="I21" i="46" s="1"/>
  <c r="I26" i="46" s="1"/>
  <c r="H27" i="7"/>
  <c r="H26" i="7" s="1"/>
  <c r="H31" i="7" s="1"/>
  <c r="K7" i="27"/>
  <c r="G22" i="46"/>
  <c r="G27" i="7"/>
  <c r="K6" i="27"/>
  <c r="Q22" i="46"/>
  <c r="Q21" i="46" s="1"/>
  <c r="Q26" i="46" s="1"/>
  <c r="L27" i="7"/>
  <c r="L26" i="7" s="1"/>
  <c r="L31" i="7" s="1"/>
  <c r="K11" i="27"/>
  <c r="O22" i="46"/>
  <c r="O21" i="46" s="1"/>
  <c r="O26" i="46" s="1"/>
  <c r="K27" i="7"/>
  <c r="K26" i="7" s="1"/>
  <c r="K31" i="7" s="1"/>
  <c r="K10" i="27"/>
  <c r="S11" i="28"/>
  <c r="T11" i="28" s="1"/>
  <c r="S22" i="46"/>
  <c r="S21" i="46" s="1"/>
  <c r="S26" i="46" s="1"/>
  <c r="M27" i="7"/>
  <c r="M26" i="7" s="1"/>
  <c r="M31" i="7" s="1"/>
  <c r="K12" i="27"/>
  <c r="M22" i="46"/>
  <c r="M21" i="46" s="1"/>
  <c r="M26" i="46" s="1"/>
  <c r="J27" i="7"/>
  <c r="J26" i="7" s="1"/>
  <c r="J31" i="7" s="1"/>
  <c r="K9" i="27"/>
  <c r="E23" i="7"/>
  <c r="E6" i="44"/>
  <c r="E8" i="44" s="1"/>
  <c r="E10" i="44" s="1"/>
  <c r="Q15" i="28"/>
  <c r="Q11" i="28"/>
  <c r="C15" i="28"/>
  <c r="F13" i="27"/>
  <c r="C9" i="28"/>
  <c r="F7" i="27"/>
  <c r="D7" i="28"/>
  <c r="P8" i="28"/>
  <c r="O8" i="28"/>
  <c r="C14" i="28"/>
  <c r="F12" i="27"/>
  <c r="C10" i="28"/>
  <c r="F8" i="27"/>
  <c r="S8" i="28"/>
  <c r="E7" i="28"/>
  <c r="R8" i="28"/>
  <c r="C8" i="28"/>
  <c r="F6" i="27"/>
  <c r="C5" i="27"/>
  <c r="C11" i="28"/>
  <c r="F9" i="27"/>
  <c r="C13" i="28"/>
  <c r="F11" i="27"/>
  <c r="C12" i="28"/>
  <c r="F10" i="27"/>
  <c r="F9" i="30"/>
  <c r="C7" i="30"/>
  <c r="C7" i="35"/>
  <c r="F9" i="35"/>
  <c r="AY38" i="14"/>
  <c r="AW35" i="14"/>
  <c r="AW16" i="14"/>
  <c r="AV9" i="14"/>
  <c r="AV7" i="14" s="1"/>
  <c r="H9" i="34" s="1"/>
  <c r="H10" i="34" s="1"/>
  <c r="AS7" i="14"/>
  <c r="E9" i="34" s="1"/>
  <c r="E10" i="34" s="1"/>
  <c r="AW39" i="14"/>
  <c r="AW22" i="14"/>
  <c r="AW11" i="14"/>
  <c r="AL7" i="14"/>
  <c r="AK7" i="14"/>
  <c r="AK5" i="14" s="1"/>
  <c r="E25" i="7"/>
  <c r="I12" i="27" l="1"/>
  <c r="J63" i="30"/>
  <c r="J63" i="35"/>
  <c r="AX11" i="14"/>
  <c r="AX7" i="14" s="1"/>
  <c r="C10" i="51"/>
  <c r="C11" i="56"/>
  <c r="E15" i="56"/>
  <c r="E14" i="53"/>
  <c r="E14" i="51"/>
  <c r="C13" i="51"/>
  <c r="C14" i="56"/>
  <c r="C11" i="51"/>
  <c r="C12" i="56"/>
  <c r="C9" i="56"/>
  <c r="C8" i="51"/>
  <c r="C9" i="51"/>
  <c r="C10" i="56"/>
  <c r="C12" i="51"/>
  <c r="C13" i="56"/>
  <c r="C14" i="51"/>
  <c r="C15" i="56"/>
  <c r="C15" i="51"/>
  <c r="C16" i="56"/>
  <c r="S7" i="28"/>
  <c r="E14" i="44"/>
  <c r="C29" i="7"/>
  <c r="P7" i="28"/>
  <c r="G7" i="27"/>
  <c r="I13" i="46"/>
  <c r="H13" i="7"/>
  <c r="G13" i="27"/>
  <c r="U13" i="46"/>
  <c r="N13" i="7"/>
  <c r="K5" i="27"/>
  <c r="D14" i="41"/>
  <c r="BA14" i="41" s="1"/>
  <c r="BB14" i="41" s="1"/>
  <c r="C15" i="39"/>
  <c r="G8" i="27"/>
  <c r="K13" i="46"/>
  <c r="I13" i="7"/>
  <c r="G9" i="27"/>
  <c r="M13" i="46"/>
  <c r="J13" i="7"/>
  <c r="G12" i="27"/>
  <c r="S13" i="46"/>
  <c r="M13" i="7"/>
  <c r="E22" i="46"/>
  <c r="E21" i="46" s="1"/>
  <c r="G21" i="46"/>
  <c r="G26" i="46" s="1"/>
  <c r="G13" i="46"/>
  <c r="G13" i="7"/>
  <c r="G10" i="27"/>
  <c r="O13" i="46"/>
  <c r="K13" i="7"/>
  <c r="G11" i="27"/>
  <c r="Q13" i="46"/>
  <c r="L13" i="7"/>
  <c r="G26" i="7"/>
  <c r="G31" i="7" s="1"/>
  <c r="E27" i="7"/>
  <c r="M12" i="28"/>
  <c r="W12" i="28" s="1"/>
  <c r="BJ13" i="56" s="1"/>
  <c r="F12" i="28"/>
  <c r="L12" i="28"/>
  <c r="T8" i="28"/>
  <c r="T7" i="28" s="1"/>
  <c r="R7" i="28"/>
  <c r="G9" i="35"/>
  <c r="F7" i="35"/>
  <c r="L11" i="28"/>
  <c r="F11" i="28"/>
  <c r="M11" i="28"/>
  <c r="W11" i="28" s="1"/>
  <c r="BJ12" i="56" s="1"/>
  <c r="F14" i="28"/>
  <c r="M14" i="28"/>
  <c r="W14" i="28" s="1"/>
  <c r="BJ15" i="56" s="1"/>
  <c r="L14" i="28"/>
  <c r="G9" i="30"/>
  <c r="F7" i="30"/>
  <c r="O7" i="28"/>
  <c r="Q8" i="28"/>
  <c r="Q7" i="28" s="1"/>
  <c r="G6" i="27"/>
  <c r="F5" i="27"/>
  <c r="L10" i="28"/>
  <c r="F10" i="28"/>
  <c r="M10" i="28"/>
  <c r="W10" i="28" s="1"/>
  <c r="BJ11" i="56" s="1"/>
  <c r="F9" i="28"/>
  <c r="M9" i="28"/>
  <c r="W9" i="28" s="1"/>
  <c r="BJ10" i="56" s="1"/>
  <c r="L9" i="28"/>
  <c r="L13" i="28"/>
  <c r="F13" i="28"/>
  <c r="M13" i="28"/>
  <c r="W13" i="28" s="1"/>
  <c r="BJ14" i="56" s="1"/>
  <c r="M8" i="28"/>
  <c r="W8" i="28" s="1"/>
  <c r="F8" i="28"/>
  <c r="L8" i="28"/>
  <c r="C7" i="28"/>
  <c r="AW7" i="14"/>
  <c r="G14" i="28"/>
  <c r="M15" i="28"/>
  <c r="W15" i="28" s="1"/>
  <c r="BJ16" i="56" s="1"/>
  <c r="F15" i="28"/>
  <c r="L15" i="28"/>
  <c r="J36" i="35"/>
  <c r="I36" i="35" s="1"/>
  <c r="J36" i="30"/>
  <c r="AY22" i="14"/>
  <c r="I9" i="27"/>
  <c r="J72" i="35"/>
  <c r="J72" i="30"/>
  <c r="I13" i="27"/>
  <c r="AY39" i="14"/>
  <c r="J9" i="35"/>
  <c r="J9" i="30"/>
  <c r="AY9" i="14"/>
  <c r="I6" i="27"/>
  <c r="J27" i="30"/>
  <c r="J27" i="35"/>
  <c r="AY16" i="14"/>
  <c r="I8" i="27"/>
  <c r="J18" i="35"/>
  <c r="J18" i="30"/>
  <c r="I7" i="27"/>
  <c r="AY11" i="14"/>
  <c r="J54" i="35"/>
  <c r="J54" i="30"/>
  <c r="AY35" i="14"/>
  <c r="I11" i="27"/>
  <c r="C11" i="33"/>
  <c r="I14" i="28"/>
  <c r="I63" i="35"/>
  <c r="J45" i="35"/>
  <c r="J45" i="30"/>
  <c r="AY31" i="14"/>
  <c r="I10" i="27"/>
  <c r="I63" i="30"/>
  <c r="C8" i="56" l="1"/>
  <c r="G13" i="28"/>
  <c r="D14" i="56"/>
  <c r="D13" i="51"/>
  <c r="D13" i="53"/>
  <c r="D12" i="56"/>
  <c r="D11" i="53"/>
  <c r="D11" i="51"/>
  <c r="C7" i="51"/>
  <c r="E11" i="56"/>
  <c r="E10" i="51"/>
  <c r="E10" i="53"/>
  <c r="E12" i="56"/>
  <c r="E11" i="51"/>
  <c r="E11" i="53"/>
  <c r="D10" i="56"/>
  <c r="D9" i="51"/>
  <c r="D9" i="53"/>
  <c r="D16" i="56"/>
  <c r="D15" i="53"/>
  <c r="D15" i="51"/>
  <c r="D9" i="56"/>
  <c r="AQ9" i="56" s="1"/>
  <c r="D8" i="51"/>
  <c r="D8" i="53"/>
  <c r="G12" i="28"/>
  <c r="D13" i="56"/>
  <c r="D12" i="53"/>
  <c r="D12" i="51"/>
  <c r="D11" i="56"/>
  <c r="D10" i="53"/>
  <c r="D10" i="51"/>
  <c r="E14" i="56"/>
  <c r="E13" i="53"/>
  <c r="E13" i="51"/>
  <c r="G9" i="28"/>
  <c r="E9" i="56"/>
  <c r="E8" i="51"/>
  <c r="E8" i="53"/>
  <c r="H12" i="27"/>
  <c r="D15" i="56"/>
  <c r="D14" i="53"/>
  <c r="D14" i="51"/>
  <c r="E13" i="56"/>
  <c r="E12" i="53"/>
  <c r="E12" i="51"/>
  <c r="E10" i="56"/>
  <c r="E9" i="51"/>
  <c r="E9" i="53"/>
  <c r="E16" i="56"/>
  <c r="E15" i="53"/>
  <c r="E15" i="51"/>
  <c r="J8" i="53"/>
  <c r="AE8" i="53" s="1"/>
  <c r="AF8" i="53" s="1"/>
  <c r="BJ9" i="56"/>
  <c r="BE13" i="41"/>
  <c r="BN13" i="41" s="1"/>
  <c r="J13" i="53"/>
  <c r="AE13" i="53" s="1"/>
  <c r="AF13" i="53" s="1"/>
  <c r="BE12" i="41"/>
  <c r="J12" i="53"/>
  <c r="AE12" i="53" s="1"/>
  <c r="AF12" i="53" s="1"/>
  <c r="BE14" i="41"/>
  <c r="BF14" i="41" s="1"/>
  <c r="J14" i="53"/>
  <c r="AE14" i="53" s="1"/>
  <c r="AF14" i="53" s="1"/>
  <c r="BE11" i="41"/>
  <c r="J11" i="53"/>
  <c r="AE11" i="53" s="1"/>
  <c r="AF11" i="53" s="1"/>
  <c r="BE15" i="41"/>
  <c r="J15" i="53"/>
  <c r="AE15" i="53" s="1"/>
  <c r="AF15" i="53" s="1"/>
  <c r="BE9" i="41"/>
  <c r="J9" i="53"/>
  <c r="AE9" i="53" s="1"/>
  <c r="AF9" i="53" s="1"/>
  <c r="BE10" i="41"/>
  <c r="BN10" i="41" s="1"/>
  <c r="J10" i="53"/>
  <c r="AE10" i="53" s="1"/>
  <c r="AF10" i="53" s="1"/>
  <c r="D11" i="33"/>
  <c r="E11" i="33" s="1"/>
  <c r="B11" i="49"/>
  <c r="F11" i="49" s="1"/>
  <c r="C11" i="41"/>
  <c r="D13" i="41"/>
  <c r="BA13" i="41" s="1"/>
  <c r="BB13" i="41" s="1"/>
  <c r="C14" i="39"/>
  <c r="D8" i="41"/>
  <c r="C9" i="39"/>
  <c r="E13" i="7"/>
  <c r="C13" i="7" s="1"/>
  <c r="E12" i="44"/>
  <c r="E11" i="44" s="1"/>
  <c r="C11" i="44" s="1"/>
  <c r="E26" i="7"/>
  <c r="E13" i="46"/>
  <c r="C13" i="46" s="1"/>
  <c r="C10" i="41"/>
  <c r="E31" i="7"/>
  <c r="E15" i="44" s="1"/>
  <c r="C15" i="44" s="1"/>
  <c r="E26" i="46"/>
  <c r="C15" i="41"/>
  <c r="C8" i="41"/>
  <c r="D9" i="41"/>
  <c r="BA9" i="41" s="1"/>
  <c r="BB9" i="41" s="1"/>
  <c r="C10" i="39"/>
  <c r="C12" i="41"/>
  <c r="D15" i="41"/>
  <c r="BA15" i="41" s="1"/>
  <c r="BB15" i="41" s="1"/>
  <c r="C16" i="39"/>
  <c r="C9" i="41"/>
  <c r="D12" i="41"/>
  <c r="BA12" i="41" s="1"/>
  <c r="BB12" i="41" s="1"/>
  <c r="C13" i="39"/>
  <c r="D11" i="41"/>
  <c r="BA11" i="41" s="1"/>
  <c r="BB11" i="41" s="1"/>
  <c r="C12" i="39"/>
  <c r="H14" i="28"/>
  <c r="C12" i="48"/>
  <c r="S28" i="46"/>
  <c r="S29" i="46" s="1"/>
  <c r="M33" i="7"/>
  <c r="M34" i="7" s="1"/>
  <c r="G15" i="28"/>
  <c r="C13" i="41"/>
  <c r="C14" i="41"/>
  <c r="D10" i="41"/>
  <c r="BA10" i="41" s="1"/>
  <c r="BB10" i="41" s="1"/>
  <c r="C11" i="39"/>
  <c r="G10" i="28"/>
  <c r="G11" i="28"/>
  <c r="N15" i="28"/>
  <c r="U15" i="28" s="1"/>
  <c r="BF11" i="41"/>
  <c r="N12" i="28"/>
  <c r="U12" i="28" s="1"/>
  <c r="N10" i="28"/>
  <c r="U10" i="28" s="1"/>
  <c r="BE8" i="41"/>
  <c r="W7" i="28"/>
  <c r="N9" i="28"/>
  <c r="U9" i="28" s="1"/>
  <c r="N14" i="28"/>
  <c r="U14" i="28" s="1"/>
  <c r="F7" i="28"/>
  <c r="AC7" i="28" s="1"/>
  <c r="AF7" i="28" s="1"/>
  <c r="N7" i="53" s="1"/>
  <c r="M7" i="28"/>
  <c r="G8" i="28"/>
  <c r="G5" i="27"/>
  <c r="H16" i="34" s="1"/>
  <c r="N13" i="28"/>
  <c r="U13" i="28" s="1"/>
  <c r="G7" i="30"/>
  <c r="H9" i="30" s="1"/>
  <c r="N11" i="28"/>
  <c r="U11" i="28" s="1"/>
  <c r="G7" i="35"/>
  <c r="H9" i="35" s="1"/>
  <c r="N8" i="28"/>
  <c r="U8" i="28" s="1"/>
  <c r="L7" i="28"/>
  <c r="AY7" i="14"/>
  <c r="BI15" i="41"/>
  <c r="C9" i="33"/>
  <c r="I12" i="28"/>
  <c r="H10" i="27"/>
  <c r="I54" i="35"/>
  <c r="J7" i="35"/>
  <c r="K45" i="35" s="1"/>
  <c r="I9" i="35"/>
  <c r="J7" i="30"/>
  <c r="K63" i="30" s="1"/>
  <c r="I9" i="30"/>
  <c r="I45" i="30"/>
  <c r="I45" i="35"/>
  <c r="I18" i="30"/>
  <c r="C12" i="33"/>
  <c r="I15" i="28"/>
  <c r="H13" i="27"/>
  <c r="I54" i="30"/>
  <c r="I72" i="30"/>
  <c r="C7" i="33"/>
  <c r="I10" i="28"/>
  <c r="H8" i="27"/>
  <c r="I72" i="35"/>
  <c r="C6" i="33"/>
  <c r="I9" i="28"/>
  <c r="H7" i="27"/>
  <c r="C8" i="33"/>
  <c r="I11" i="28"/>
  <c r="H9" i="27"/>
  <c r="I27" i="35"/>
  <c r="I18" i="35"/>
  <c r="I27" i="30"/>
  <c r="I36" i="30"/>
  <c r="C10" i="33"/>
  <c r="I13" i="28"/>
  <c r="H11" i="27"/>
  <c r="C5" i="33"/>
  <c r="B5" i="49" s="1"/>
  <c r="F5" i="49" s="1"/>
  <c r="I8" i="28"/>
  <c r="I5" i="27"/>
  <c r="H6" i="27"/>
  <c r="N13" i="53" l="1"/>
  <c r="N14" i="53"/>
  <c r="N15" i="53"/>
  <c r="N12" i="53"/>
  <c r="N9" i="53"/>
  <c r="N11" i="53"/>
  <c r="N8" i="53"/>
  <c r="N10" i="53"/>
  <c r="BD9" i="56"/>
  <c r="AQ16" i="56"/>
  <c r="BD16" i="56" s="1"/>
  <c r="AQ11" i="56"/>
  <c r="BD11" i="56" s="1"/>
  <c r="AQ15" i="56"/>
  <c r="BD15" i="56" s="1"/>
  <c r="AQ14" i="56"/>
  <c r="BD14" i="56" s="1"/>
  <c r="AQ12" i="56"/>
  <c r="BD12" i="56" s="1"/>
  <c r="AQ10" i="56"/>
  <c r="BD10" i="56" s="1"/>
  <c r="AQ13" i="56"/>
  <c r="BD13" i="56" s="1"/>
  <c r="D7" i="53"/>
  <c r="BF13" i="41"/>
  <c r="K13" i="53" s="1"/>
  <c r="BF10" i="41"/>
  <c r="K10" i="53" s="1"/>
  <c r="E8" i="56"/>
  <c r="D7" i="51"/>
  <c r="D8" i="56"/>
  <c r="E7" i="53"/>
  <c r="E7" i="51"/>
  <c r="BJ8" i="56"/>
  <c r="BN12" i="41"/>
  <c r="K14" i="53"/>
  <c r="BN9" i="41"/>
  <c r="BF9" i="41"/>
  <c r="K9" i="53" s="1"/>
  <c r="K11" i="53"/>
  <c r="BN11" i="41"/>
  <c r="BN15" i="41"/>
  <c r="BF15" i="41"/>
  <c r="K15" i="53" s="1"/>
  <c r="BN14" i="41"/>
  <c r="BF12" i="41"/>
  <c r="K12" i="53" s="1"/>
  <c r="AE7" i="53"/>
  <c r="G7" i="28"/>
  <c r="L63" i="35"/>
  <c r="I11" i="33"/>
  <c r="D11" i="49" s="1"/>
  <c r="G11" i="33"/>
  <c r="C11" i="49" s="1"/>
  <c r="D9" i="33"/>
  <c r="E9" i="33" s="1"/>
  <c r="B9" i="49"/>
  <c r="F9" i="49" s="1"/>
  <c r="D8" i="33"/>
  <c r="E8" i="33" s="1"/>
  <c r="B8" i="49"/>
  <c r="F8" i="49" s="1"/>
  <c r="D12" i="33"/>
  <c r="E12" i="33" s="1"/>
  <c r="B12" i="49"/>
  <c r="F12" i="49" s="1"/>
  <c r="D10" i="33"/>
  <c r="E10" i="33" s="1"/>
  <c r="B10" i="49"/>
  <c r="F10" i="49" s="1"/>
  <c r="D7" i="33"/>
  <c r="E7" i="33" s="1"/>
  <c r="B7" i="49"/>
  <c r="F7" i="49" s="1"/>
  <c r="D6" i="33"/>
  <c r="E6" i="33" s="1"/>
  <c r="B6" i="49"/>
  <c r="F6" i="49" s="1"/>
  <c r="C8" i="39"/>
  <c r="H8" i="28"/>
  <c r="G28" i="46"/>
  <c r="C6" i="48"/>
  <c r="G33" i="7"/>
  <c r="C11" i="48"/>
  <c r="Q28" i="46"/>
  <c r="Q29" i="46" s="1"/>
  <c r="L33" i="7"/>
  <c r="L34" i="7" s="1"/>
  <c r="BA8" i="41"/>
  <c r="D7" i="41"/>
  <c r="H18" i="34"/>
  <c r="H17" i="34"/>
  <c r="H10" i="28"/>
  <c r="K28" i="46"/>
  <c r="K29" i="46" s="1"/>
  <c r="C8" i="48"/>
  <c r="I33" i="7"/>
  <c r="I34" i="7" s="1"/>
  <c r="C7" i="41"/>
  <c r="H12" i="28"/>
  <c r="O28" i="46"/>
  <c r="O29" i="46" s="1"/>
  <c r="C10" i="48"/>
  <c r="K33" i="7"/>
  <c r="K34" i="7" s="1"/>
  <c r="H9" i="28"/>
  <c r="I28" i="46"/>
  <c r="I29" i="46" s="1"/>
  <c r="C7" i="48"/>
  <c r="H33" i="7"/>
  <c r="H34" i="7" s="1"/>
  <c r="H11" i="28"/>
  <c r="C9" i="48"/>
  <c r="M28" i="46"/>
  <c r="M29" i="46" s="1"/>
  <c r="J33" i="7"/>
  <c r="J34" i="7" s="1"/>
  <c r="H15" i="28"/>
  <c r="U28" i="46"/>
  <c r="U29" i="46" s="1"/>
  <c r="C13" i="48"/>
  <c r="N33" i="7"/>
  <c r="N34" i="7" s="1"/>
  <c r="BF8" i="41"/>
  <c r="BN8" i="41"/>
  <c r="BE7" i="41"/>
  <c r="U7" i="28"/>
  <c r="AA7" i="28" s="1"/>
  <c r="AG7" i="28" s="1"/>
  <c r="N7" i="28"/>
  <c r="H27" i="35"/>
  <c r="H36" i="35"/>
  <c r="H54" i="35"/>
  <c r="H18" i="35"/>
  <c r="H72" i="35"/>
  <c r="H45" i="35"/>
  <c r="H63" i="35"/>
  <c r="H54" i="30"/>
  <c r="H72" i="30"/>
  <c r="H63" i="30"/>
  <c r="H36" i="30"/>
  <c r="H27" i="30"/>
  <c r="H18" i="30"/>
  <c r="H45" i="30"/>
  <c r="K45" i="30"/>
  <c r="K27" i="35"/>
  <c r="I7" i="35"/>
  <c r="K72" i="30"/>
  <c r="K54" i="30"/>
  <c r="H5" i="27"/>
  <c r="H13" i="28"/>
  <c r="I7" i="30"/>
  <c r="K9" i="30"/>
  <c r="I7" i="28"/>
  <c r="J14" i="28" s="1"/>
  <c r="Z14" i="28" s="1"/>
  <c r="K9" i="35"/>
  <c r="K54" i="35"/>
  <c r="D5" i="33"/>
  <c r="C4" i="33"/>
  <c r="K72" i="35"/>
  <c r="K18" i="30"/>
  <c r="K36" i="30"/>
  <c r="K36" i="35"/>
  <c r="K63" i="35"/>
  <c r="K27" i="30"/>
  <c r="K18" i="35"/>
  <c r="F4" i="49" l="1"/>
  <c r="AQ8" i="56"/>
  <c r="I11" i="49"/>
  <c r="H11" i="49"/>
  <c r="G11" i="49"/>
  <c r="AP11" i="49"/>
  <c r="AD11" i="49"/>
  <c r="R11" i="49"/>
  <c r="AO11" i="49"/>
  <c r="AC11" i="49"/>
  <c r="Q11" i="49"/>
  <c r="AQ11" i="49"/>
  <c r="AN11" i="49"/>
  <c r="AB11" i="49"/>
  <c r="P11" i="49"/>
  <c r="AR11" i="49"/>
  <c r="AM11" i="49"/>
  <c r="AA11" i="49"/>
  <c r="O11" i="49"/>
  <c r="AE11" i="49"/>
  <c r="AS11" i="49"/>
  <c r="AL11" i="49"/>
  <c r="Z11" i="49"/>
  <c r="N11" i="49"/>
  <c r="AT11" i="49"/>
  <c r="AK11" i="49"/>
  <c r="Y11" i="49"/>
  <c r="M11" i="49"/>
  <c r="J11" i="49"/>
  <c r="S11" i="49"/>
  <c r="AU11" i="49"/>
  <c r="AJ11" i="49"/>
  <c r="X11" i="49"/>
  <c r="L11" i="49"/>
  <c r="AV11" i="49"/>
  <c r="AI11" i="49"/>
  <c r="W11" i="49"/>
  <c r="K11" i="49"/>
  <c r="T11" i="49"/>
  <c r="AW11" i="49"/>
  <c r="AH11" i="49"/>
  <c r="V11" i="49"/>
  <c r="AF11" i="49"/>
  <c r="AX11" i="49"/>
  <c r="AG11" i="49"/>
  <c r="U11" i="49"/>
  <c r="H7" i="28"/>
  <c r="BF7" i="41"/>
  <c r="BC71" i="35"/>
  <c r="AQ71" i="35"/>
  <c r="AE71" i="35"/>
  <c r="S71" i="35"/>
  <c r="AZ70" i="35"/>
  <c r="AN70" i="35"/>
  <c r="AB70" i="35"/>
  <c r="P70" i="35"/>
  <c r="AW69" i="35"/>
  <c r="AK69" i="35"/>
  <c r="Y69" i="35"/>
  <c r="BF68" i="35"/>
  <c r="AT68" i="35"/>
  <c r="AH68" i="35"/>
  <c r="V68" i="35"/>
  <c r="BC67" i="35"/>
  <c r="AQ67" i="35"/>
  <c r="AE67" i="35"/>
  <c r="S67" i="35"/>
  <c r="AZ66" i="35"/>
  <c r="AN66" i="35"/>
  <c r="AB66" i="35"/>
  <c r="P66" i="35"/>
  <c r="AW65" i="35"/>
  <c r="AK65" i="35"/>
  <c r="Y65" i="35"/>
  <c r="BF64" i="35"/>
  <c r="AT64" i="35"/>
  <c r="AH64" i="35"/>
  <c r="V64" i="35"/>
  <c r="BF71" i="35"/>
  <c r="AE70" i="35"/>
  <c r="Y68" i="35"/>
  <c r="AE66" i="35"/>
  <c r="U71" i="35"/>
  <c r="BE67" i="35"/>
  <c r="AJ64" i="35"/>
  <c r="BB71" i="35"/>
  <c r="AP71" i="35"/>
  <c r="AD71" i="35"/>
  <c r="R71" i="35"/>
  <c r="N12" i="48" s="1"/>
  <c r="AY70" i="35"/>
  <c r="AM70" i="35"/>
  <c r="AA70" i="35"/>
  <c r="O70" i="35"/>
  <c r="AV69" i="35"/>
  <c r="AJ69" i="35"/>
  <c r="X69" i="35"/>
  <c r="BE68" i="35"/>
  <c r="AS68" i="35"/>
  <c r="AG68" i="35"/>
  <c r="U68" i="35"/>
  <c r="BB67" i="35"/>
  <c r="AP67" i="35"/>
  <c r="AD67" i="35"/>
  <c r="R67" i="35"/>
  <c r="AY66" i="35"/>
  <c r="AM66" i="35"/>
  <c r="AA66" i="35"/>
  <c r="O66" i="35"/>
  <c r="AV65" i="35"/>
  <c r="AJ65" i="35"/>
  <c r="X65" i="35"/>
  <c r="BE64" i="35"/>
  <c r="AS64" i="35"/>
  <c r="AG64" i="35"/>
  <c r="U64" i="35"/>
  <c r="AT71" i="35"/>
  <c r="AQ70" i="35"/>
  <c r="AB69" i="35"/>
  <c r="BF67" i="35"/>
  <c r="AQ66" i="35"/>
  <c r="P65" i="35"/>
  <c r="O69" i="35"/>
  <c r="R66" i="35"/>
  <c r="BA71" i="35"/>
  <c r="AO71" i="35"/>
  <c r="AC71" i="35"/>
  <c r="Q71" i="35"/>
  <c r="AX70" i="35"/>
  <c r="AL70" i="35"/>
  <c r="Z70" i="35"/>
  <c r="N70" i="35"/>
  <c r="AU69" i="35"/>
  <c r="AI69" i="35"/>
  <c r="W69" i="35"/>
  <c r="BD68" i="35"/>
  <c r="AR68" i="35"/>
  <c r="AF68" i="35"/>
  <c r="T68" i="35"/>
  <c r="BA67" i="35"/>
  <c r="AO67" i="35"/>
  <c r="AC67" i="35"/>
  <c r="Q67" i="35"/>
  <c r="AX66" i="35"/>
  <c r="AL66" i="35"/>
  <c r="Z66" i="35"/>
  <c r="N66" i="35"/>
  <c r="AU65" i="35"/>
  <c r="AI65" i="35"/>
  <c r="W65" i="35"/>
  <c r="BD64" i="35"/>
  <c r="AR64" i="35"/>
  <c r="AF64" i="35"/>
  <c r="T64" i="35"/>
  <c r="AN69" i="35"/>
  <c r="V67" i="35"/>
  <c r="AP70" i="35"/>
  <c r="AV68" i="35"/>
  <c r="BB66" i="35"/>
  <c r="AA65" i="35"/>
  <c r="AZ71" i="35"/>
  <c r="AN71" i="35"/>
  <c r="AB71" i="35"/>
  <c r="P71" i="35"/>
  <c r="AW70" i="35"/>
  <c r="AK70" i="35"/>
  <c r="Y70" i="35"/>
  <c r="BF69" i="35"/>
  <c r="AT69" i="35"/>
  <c r="AH69" i="35"/>
  <c r="V69" i="35"/>
  <c r="BC68" i="35"/>
  <c r="AQ68" i="35"/>
  <c r="AE68" i="35"/>
  <c r="S68" i="35"/>
  <c r="AZ67" i="35"/>
  <c r="AN67" i="35"/>
  <c r="AB67" i="35"/>
  <c r="P67" i="35"/>
  <c r="AW66" i="35"/>
  <c r="AK66" i="35"/>
  <c r="Y66" i="35"/>
  <c r="BF65" i="35"/>
  <c r="AT65" i="35"/>
  <c r="AH65" i="35"/>
  <c r="V65" i="35"/>
  <c r="BC64" i="35"/>
  <c r="AQ64" i="35"/>
  <c r="AE64" i="35"/>
  <c r="S64" i="35"/>
  <c r="P69" i="35"/>
  <c r="Y64" i="35"/>
  <c r="BE71" i="35"/>
  <c r="AJ68" i="35"/>
  <c r="AY71" i="35"/>
  <c r="AM71" i="35"/>
  <c r="AA71" i="35"/>
  <c r="O71" i="35"/>
  <c r="AV70" i="35"/>
  <c r="AJ70" i="35"/>
  <c r="X70" i="35"/>
  <c r="BE69" i="35"/>
  <c r="AS69" i="35"/>
  <c r="AG69" i="35"/>
  <c r="U69" i="35"/>
  <c r="BB68" i="35"/>
  <c r="AP68" i="35"/>
  <c r="AD68" i="35"/>
  <c r="R68" i="35"/>
  <c r="AY67" i="35"/>
  <c r="AM67" i="35"/>
  <c r="AA67" i="35"/>
  <c r="O67" i="35"/>
  <c r="AV66" i="35"/>
  <c r="AJ66" i="35"/>
  <c r="X66" i="35"/>
  <c r="BE65" i="35"/>
  <c r="AS65" i="35"/>
  <c r="AG65" i="35"/>
  <c r="U65" i="35"/>
  <c r="BB64" i="35"/>
  <c r="AP64" i="35"/>
  <c r="AD64" i="35"/>
  <c r="R64" i="35"/>
  <c r="AZ69" i="35"/>
  <c r="AH67" i="35"/>
  <c r="AK64" i="35"/>
  <c r="R70" i="35"/>
  <c r="X68" i="35"/>
  <c r="AP66" i="35"/>
  <c r="O65" i="35"/>
  <c r="AX71" i="35"/>
  <c r="D12" i="48" s="1"/>
  <c r="AL71" i="35"/>
  <c r="Z71" i="35"/>
  <c r="N71" i="35"/>
  <c r="AU70" i="35"/>
  <c r="AI70" i="35"/>
  <c r="W70" i="35"/>
  <c r="BD69" i="35"/>
  <c r="AR69" i="35"/>
  <c r="AF69" i="35"/>
  <c r="T69" i="35"/>
  <c r="BA68" i="35"/>
  <c r="AO68" i="35"/>
  <c r="AC68" i="35"/>
  <c r="Q68" i="35"/>
  <c r="AX67" i="35"/>
  <c r="AL67" i="35"/>
  <c r="Z67" i="35"/>
  <c r="N67" i="35"/>
  <c r="AU66" i="35"/>
  <c r="AI66" i="35"/>
  <c r="W66" i="35"/>
  <c r="BD65" i="35"/>
  <c r="AR65" i="35"/>
  <c r="AF65" i="35"/>
  <c r="T65" i="35"/>
  <c r="BA64" i="35"/>
  <c r="AO64" i="35"/>
  <c r="AC64" i="35"/>
  <c r="Q64" i="35"/>
  <c r="V71" i="35"/>
  <c r="AK68" i="35"/>
  <c r="AB65" i="35"/>
  <c r="AS71" i="35"/>
  <c r="AA69" i="35"/>
  <c r="AD66" i="35"/>
  <c r="AW71" i="35"/>
  <c r="AK71" i="35"/>
  <c r="Y71" i="35"/>
  <c r="BF70" i="35"/>
  <c r="AT70" i="35"/>
  <c r="AH70" i="35"/>
  <c r="V70" i="35"/>
  <c r="BC69" i="35"/>
  <c r="AQ69" i="35"/>
  <c r="AE69" i="35"/>
  <c r="S69" i="35"/>
  <c r="AZ68" i="35"/>
  <c r="AN68" i="35"/>
  <c r="AB68" i="35"/>
  <c r="P68" i="35"/>
  <c r="AW67" i="35"/>
  <c r="AK67" i="35"/>
  <c r="Y67" i="35"/>
  <c r="BF66" i="35"/>
  <c r="AT66" i="35"/>
  <c r="AH66" i="35"/>
  <c r="V66" i="35"/>
  <c r="BC65" i="35"/>
  <c r="AQ65" i="35"/>
  <c r="AE65" i="35"/>
  <c r="S65" i="35"/>
  <c r="AZ64" i="35"/>
  <c r="AN64" i="35"/>
  <c r="AB64" i="35"/>
  <c r="P64" i="35"/>
  <c r="AN65" i="35"/>
  <c r="BB70" i="35"/>
  <c r="AG67" i="35"/>
  <c r="X64" i="35"/>
  <c r="AV71" i="35"/>
  <c r="AJ71" i="35"/>
  <c r="X71" i="35"/>
  <c r="BE70" i="35"/>
  <c r="AS70" i="35"/>
  <c r="AG70" i="35"/>
  <c r="U70" i="35"/>
  <c r="BB69" i="35"/>
  <c r="AP69" i="35"/>
  <c r="AD69" i="35"/>
  <c r="R69" i="35"/>
  <c r="AY68" i="35"/>
  <c r="AM68" i="35"/>
  <c r="AA68" i="35"/>
  <c r="O68" i="35"/>
  <c r="AV67" i="35"/>
  <c r="AJ67" i="35"/>
  <c r="X67" i="35"/>
  <c r="BE66" i="35"/>
  <c r="AS66" i="35"/>
  <c r="AG66" i="35"/>
  <c r="U66" i="35"/>
  <c r="BB65" i="35"/>
  <c r="AP65" i="35"/>
  <c r="AD65" i="35"/>
  <c r="R65" i="35"/>
  <c r="AY64" i="35"/>
  <c r="AM64" i="35"/>
  <c r="AA64" i="35"/>
  <c r="O64" i="35"/>
  <c r="AH71" i="35"/>
  <c r="S70" i="35"/>
  <c r="AW68" i="35"/>
  <c r="AT67" i="35"/>
  <c r="S66" i="35"/>
  <c r="AW64" i="35"/>
  <c r="AG71" i="35"/>
  <c r="AM69" i="35"/>
  <c r="AS67" i="35"/>
  <c r="AY65" i="35"/>
  <c r="AU71" i="35"/>
  <c r="AI71" i="35"/>
  <c r="W71" i="35"/>
  <c r="BD70" i="35"/>
  <c r="AR70" i="35"/>
  <c r="AF70" i="35"/>
  <c r="T70" i="35"/>
  <c r="BA69" i="35"/>
  <c r="AO69" i="35"/>
  <c r="AC69" i="35"/>
  <c r="Q69" i="35"/>
  <c r="AX68" i="35"/>
  <c r="AL68" i="35"/>
  <c r="Z68" i="35"/>
  <c r="N68" i="35"/>
  <c r="AU67" i="35"/>
  <c r="AI67" i="35"/>
  <c r="W67" i="35"/>
  <c r="BD66" i="35"/>
  <c r="AR66" i="35"/>
  <c r="AF66" i="35"/>
  <c r="T66" i="35"/>
  <c r="BA65" i="35"/>
  <c r="AO65" i="35"/>
  <c r="AC65" i="35"/>
  <c r="Q65" i="35"/>
  <c r="AX64" i="35"/>
  <c r="AL64" i="35"/>
  <c r="Z64" i="35"/>
  <c r="AZ65" i="35"/>
  <c r="AD70" i="35"/>
  <c r="AM65" i="35"/>
  <c r="BD71" i="35"/>
  <c r="AR71" i="35"/>
  <c r="AF71" i="35"/>
  <c r="T71" i="35"/>
  <c r="BA70" i="35"/>
  <c r="AO70" i="35"/>
  <c r="AC70" i="35"/>
  <c r="Q70" i="35"/>
  <c r="AX69" i="35"/>
  <c r="AL69" i="35"/>
  <c r="Z69" i="35"/>
  <c r="N69" i="35"/>
  <c r="AU68" i="35"/>
  <c r="AI68" i="35"/>
  <c r="W68" i="35"/>
  <c r="BD67" i="35"/>
  <c r="AR67" i="35"/>
  <c r="AF67" i="35"/>
  <c r="T67" i="35"/>
  <c r="BA66" i="35"/>
  <c r="AO66" i="35"/>
  <c r="AC66" i="35"/>
  <c r="Q66" i="35"/>
  <c r="AX65" i="35"/>
  <c r="AL65" i="35"/>
  <c r="Z65" i="35"/>
  <c r="N65" i="35"/>
  <c r="AU64" i="35"/>
  <c r="AI64" i="35"/>
  <c r="W64" i="35"/>
  <c r="BC70" i="35"/>
  <c r="BC66" i="35"/>
  <c r="AY69" i="35"/>
  <c r="U67" i="35"/>
  <c r="AV64" i="35"/>
  <c r="L72" i="35"/>
  <c r="I12" i="33"/>
  <c r="D12" i="49" s="1"/>
  <c r="G12" i="33"/>
  <c r="C12" i="49" s="1"/>
  <c r="L36" i="35"/>
  <c r="G8" i="33"/>
  <c r="C8" i="49" s="1"/>
  <c r="I8" i="33"/>
  <c r="D8" i="49" s="1"/>
  <c r="L18" i="35"/>
  <c r="R26" i="35" s="1"/>
  <c r="G6" i="33"/>
  <c r="C6" i="49" s="1"/>
  <c r="I6" i="33"/>
  <c r="D6" i="49" s="1"/>
  <c r="L45" i="35"/>
  <c r="G9" i="33"/>
  <c r="C9" i="49" s="1"/>
  <c r="I9" i="33"/>
  <c r="D9" i="49" s="1"/>
  <c r="L27" i="35"/>
  <c r="G7" i="33"/>
  <c r="C7" i="49" s="1"/>
  <c r="I7" i="33"/>
  <c r="D7" i="49" s="1"/>
  <c r="L54" i="35"/>
  <c r="N55" i="35" s="1"/>
  <c r="G10" i="33"/>
  <c r="C10" i="49" s="1"/>
  <c r="I10" i="33"/>
  <c r="D10" i="49" s="1"/>
  <c r="N64" i="35"/>
  <c r="E33" i="7"/>
  <c r="E16" i="44" s="1"/>
  <c r="C16" i="44" s="1"/>
  <c r="G34" i="7"/>
  <c r="E34" i="7" s="1"/>
  <c r="E17" i="44" s="1"/>
  <c r="C17" i="44" s="1"/>
  <c r="C5" i="48"/>
  <c r="AA14" i="28"/>
  <c r="BH14" i="41"/>
  <c r="L14" i="53" s="1"/>
  <c r="E28" i="46"/>
  <c r="G29" i="46"/>
  <c r="E29" i="46" s="1"/>
  <c r="BB8" i="41"/>
  <c r="BA7" i="41"/>
  <c r="BN7" i="41"/>
  <c r="J12" i="28"/>
  <c r="Z12" i="28" s="1"/>
  <c r="J10" i="28"/>
  <c r="Z10" i="28" s="1"/>
  <c r="BI8" i="41"/>
  <c r="BI7" i="41" s="1"/>
  <c r="J11" i="28"/>
  <c r="Z11" i="28" s="1"/>
  <c r="D4" i="33"/>
  <c r="E5" i="33"/>
  <c r="K7" i="35"/>
  <c r="J15" i="28"/>
  <c r="Z15" i="28" s="1"/>
  <c r="J8" i="28"/>
  <c r="J9" i="28"/>
  <c r="Z9" i="28" s="1"/>
  <c r="K7" i="30"/>
  <c r="J13" i="28"/>
  <c r="Z13" i="28" s="1"/>
  <c r="T12" i="48" l="1"/>
  <c r="AO15" i="56" s="1"/>
  <c r="BC15" i="56" s="1"/>
  <c r="E12" i="48"/>
  <c r="AW10" i="49"/>
  <c r="AK10" i="49"/>
  <c r="Y10" i="49"/>
  <c r="M10" i="49"/>
  <c r="N10" i="49"/>
  <c r="AX10" i="49"/>
  <c r="AJ10" i="49"/>
  <c r="X10" i="49"/>
  <c r="L10" i="49"/>
  <c r="AV10" i="49"/>
  <c r="AI10" i="49"/>
  <c r="W10" i="49"/>
  <c r="K10" i="49"/>
  <c r="AH10" i="49"/>
  <c r="V10" i="49"/>
  <c r="AG10" i="49"/>
  <c r="U10" i="49"/>
  <c r="AA10" i="49"/>
  <c r="AF10" i="49"/>
  <c r="T10" i="49"/>
  <c r="AU10" i="49"/>
  <c r="AQ10" i="49"/>
  <c r="AE10" i="49"/>
  <c r="S10" i="49"/>
  <c r="J10" i="49"/>
  <c r="AM10" i="49"/>
  <c r="Z10" i="49"/>
  <c r="AR10" i="49"/>
  <c r="AD10" i="49"/>
  <c r="R10" i="49"/>
  <c r="AS10" i="49"/>
  <c r="AO10" i="49"/>
  <c r="AC10" i="49"/>
  <c r="Q10" i="49"/>
  <c r="O10" i="49"/>
  <c r="AP10" i="49"/>
  <c r="AL10" i="49"/>
  <c r="AT10" i="49"/>
  <c r="AN10" i="49"/>
  <c r="AB10" i="49"/>
  <c r="P10" i="49"/>
  <c r="BD8" i="56"/>
  <c r="H8" i="49"/>
  <c r="I8" i="49"/>
  <c r="G8" i="49"/>
  <c r="I12" i="49"/>
  <c r="G12" i="49"/>
  <c r="H12" i="49"/>
  <c r="H7" i="49"/>
  <c r="I7" i="49"/>
  <c r="G7" i="49"/>
  <c r="AS12" i="49"/>
  <c r="AI12" i="49"/>
  <c r="W12" i="49"/>
  <c r="K12" i="49"/>
  <c r="L12" i="49"/>
  <c r="AP12" i="49"/>
  <c r="AT12" i="49"/>
  <c r="AH12" i="49"/>
  <c r="V12" i="49"/>
  <c r="J12" i="49"/>
  <c r="AU12" i="49"/>
  <c r="AG12" i="49"/>
  <c r="U12" i="49"/>
  <c r="AK12" i="49"/>
  <c r="AV12" i="49"/>
  <c r="AF12" i="49"/>
  <c r="T12" i="49"/>
  <c r="AW12" i="49"/>
  <c r="AE12" i="49"/>
  <c r="S12" i="49"/>
  <c r="AJ12" i="49"/>
  <c r="AX12" i="49"/>
  <c r="AD12" i="49"/>
  <c r="R12" i="49"/>
  <c r="AO12" i="49"/>
  <c r="AC12" i="49"/>
  <c r="Q12" i="49"/>
  <c r="M12" i="49"/>
  <c r="AN12" i="49"/>
  <c r="AB12" i="49"/>
  <c r="P12" i="49"/>
  <c r="Y12" i="49"/>
  <c r="X12" i="49"/>
  <c r="AM12" i="49"/>
  <c r="AA12" i="49"/>
  <c r="O12" i="49"/>
  <c r="AL12" i="49"/>
  <c r="Z12" i="49"/>
  <c r="N12" i="49"/>
  <c r="AQ12" i="49"/>
  <c r="AR12" i="49"/>
  <c r="AM8" i="49"/>
  <c r="AA8" i="49"/>
  <c r="O8" i="49"/>
  <c r="AK8" i="49"/>
  <c r="T8" i="49"/>
  <c r="AL8" i="49"/>
  <c r="Z8" i="49"/>
  <c r="N8" i="49"/>
  <c r="AO8" i="49"/>
  <c r="AB8" i="49"/>
  <c r="AQ8" i="49"/>
  <c r="Y8" i="49"/>
  <c r="M8" i="49"/>
  <c r="AC8" i="49"/>
  <c r="AR8" i="49"/>
  <c r="AJ8" i="49"/>
  <c r="X8" i="49"/>
  <c r="L8" i="49"/>
  <c r="K8" i="49"/>
  <c r="AS8" i="49"/>
  <c r="AI8" i="49"/>
  <c r="W8" i="49"/>
  <c r="AN8" i="49"/>
  <c r="AT8" i="49"/>
  <c r="AH8" i="49"/>
  <c r="V8" i="49"/>
  <c r="AU8" i="49"/>
  <c r="AG8" i="49"/>
  <c r="U8" i="49"/>
  <c r="AV8" i="49"/>
  <c r="AF8" i="49"/>
  <c r="AW8" i="49"/>
  <c r="AE8" i="49"/>
  <c r="S8" i="49"/>
  <c r="J8" i="49"/>
  <c r="Q8" i="49"/>
  <c r="AX8" i="49"/>
  <c r="AD8" i="49"/>
  <c r="R8" i="49"/>
  <c r="P8" i="49"/>
  <c r="AS9" i="49"/>
  <c r="AF9" i="49"/>
  <c r="T9" i="49"/>
  <c r="J9" i="49"/>
  <c r="AT9" i="49"/>
  <c r="AE9" i="49"/>
  <c r="S9" i="49"/>
  <c r="M9" i="49"/>
  <c r="AU9" i="49"/>
  <c r="AD9" i="49"/>
  <c r="R9" i="49"/>
  <c r="AR9" i="49"/>
  <c r="U9" i="49"/>
  <c r="AV9" i="49"/>
  <c r="AO9" i="49"/>
  <c r="AC9" i="49"/>
  <c r="Q9" i="49"/>
  <c r="AQ9" i="49"/>
  <c r="AW9" i="49"/>
  <c r="AN9" i="49"/>
  <c r="AB9" i="49"/>
  <c r="P9" i="49"/>
  <c r="Y9" i="49"/>
  <c r="AP9" i="49"/>
  <c r="AX9" i="49"/>
  <c r="AM9" i="49"/>
  <c r="AA9" i="49"/>
  <c r="O9" i="49"/>
  <c r="AH9" i="49"/>
  <c r="AL9" i="49"/>
  <c r="Z9" i="49"/>
  <c r="N9" i="49"/>
  <c r="AK9" i="49"/>
  <c r="AG9" i="49"/>
  <c r="AJ9" i="49"/>
  <c r="X9" i="49"/>
  <c r="L9" i="49"/>
  <c r="AI9" i="49"/>
  <c r="W9" i="49"/>
  <c r="K9" i="49"/>
  <c r="V9" i="49"/>
  <c r="E11" i="49"/>
  <c r="I10" i="49"/>
  <c r="H10" i="49"/>
  <c r="G10" i="49"/>
  <c r="I9" i="49"/>
  <c r="G9" i="49"/>
  <c r="H9" i="49"/>
  <c r="AW7" i="49"/>
  <c r="AH7" i="49"/>
  <c r="V7" i="49"/>
  <c r="W7" i="49"/>
  <c r="AX7" i="49"/>
  <c r="AG7" i="49"/>
  <c r="U7" i="49"/>
  <c r="AF7" i="49"/>
  <c r="AU7" i="49"/>
  <c r="T7" i="49"/>
  <c r="AA7" i="49"/>
  <c r="M7" i="49"/>
  <c r="AE7" i="49"/>
  <c r="S7" i="49"/>
  <c r="O7" i="49"/>
  <c r="AI7" i="49"/>
  <c r="AD7" i="49"/>
  <c r="R7" i="49"/>
  <c r="AO7" i="49"/>
  <c r="AC7" i="49"/>
  <c r="Q7" i="49"/>
  <c r="AK7" i="49"/>
  <c r="J7" i="49"/>
  <c r="AV7" i="49"/>
  <c r="K7" i="49"/>
  <c r="AQ7" i="49"/>
  <c r="AN7" i="49"/>
  <c r="AB7" i="49"/>
  <c r="P7" i="49"/>
  <c r="AM7" i="49"/>
  <c r="AJ7" i="49"/>
  <c r="AR7" i="49"/>
  <c r="X7" i="49"/>
  <c r="AS7" i="49"/>
  <c r="AL7" i="49"/>
  <c r="Z7" i="49"/>
  <c r="N7" i="49"/>
  <c r="Y7" i="49"/>
  <c r="L7" i="49"/>
  <c r="AT7" i="49"/>
  <c r="AS6" i="49"/>
  <c r="AO6" i="49"/>
  <c r="AC6" i="49"/>
  <c r="Q6" i="49"/>
  <c r="O6" i="49"/>
  <c r="M6" i="49"/>
  <c r="AQ6" i="49"/>
  <c r="S6" i="49"/>
  <c r="AT6" i="49"/>
  <c r="AN6" i="49"/>
  <c r="AB6" i="49"/>
  <c r="P6" i="49"/>
  <c r="AK6" i="49"/>
  <c r="J6" i="49"/>
  <c r="AU6" i="49"/>
  <c r="AM6" i="49"/>
  <c r="AA6" i="49"/>
  <c r="AV6" i="49"/>
  <c r="AL6" i="49"/>
  <c r="Z6" i="49"/>
  <c r="N6" i="49"/>
  <c r="AE6" i="49"/>
  <c r="AW6" i="49"/>
  <c r="Y6" i="49"/>
  <c r="AX6" i="49"/>
  <c r="AJ6" i="49"/>
  <c r="X6" i="49"/>
  <c r="L6" i="49"/>
  <c r="V6" i="49"/>
  <c r="AI6" i="49"/>
  <c r="W6" i="49"/>
  <c r="K6" i="49"/>
  <c r="AR6" i="49"/>
  <c r="R6" i="49"/>
  <c r="AH6" i="49"/>
  <c r="T6" i="49"/>
  <c r="AD6" i="49"/>
  <c r="AG6" i="49"/>
  <c r="U6" i="49"/>
  <c r="AF6" i="49"/>
  <c r="H6" i="49"/>
  <c r="I6" i="49"/>
  <c r="G6" i="49"/>
  <c r="J7" i="53"/>
  <c r="K8" i="53"/>
  <c r="BD80" i="35"/>
  <c r="AR80" i="35"/>
  <c r="AF80" i="35"/>
  <c r="T80" i="35"/>
  <c r="BA79" i="35"/>
  <c r="AO79" i="35"/>
  <c r="AC79" i="35"/>
  <c r="Q79" i="35"/>
  <c r="AX78" i="35"/>
  <c r="AL78" i="35"/>
  <c r="Z78" i="35"/>
  <c r="N78" i="35"/>
  <c r="AU77" i="35"/>
  <c r="AI77" i="35"/>
  <c r="W77" i="35"/>
  <c r="BD76" i="35"/>
  <c r="AR76" i="35"/>
  <c r="AF76" i="35"/>
  <c r="T76" i="35"/>
  <c r="BA75" i="35"/>
  <c r="AO75" i="35"/>
  <c r="AC75" i="35"/>
  <c r="Q75" i="35"/>
  <c r="AX74" i="35"/>
  <c r="AL74" i="35"/>
  <c r="Z74" i="35"/>
  <c r="N74" i="35"/>
  <c r="AU73" i="35"/>
  <c r="AI73" i="35"/>
  <c r="W73" i="35"/>
  <c r="AI80" i="35"/>
  <c r="Q78" i="35"/>
  <c r="AR75" i="35"/>
  <c r="BC79" i="35"/>
  <c r="BC75" i="35"/>
  <c r="BC80" i="35"/>
  <c r="AQ80" i="35"/>
  <c r="AE80" i="35"/>
  <c r="S80" i="35"/>
  <c r="AZ79" i="35"/>
  <c r="AN79" i="35"/>
  <c r="AB79" i="35"/>
  <c r="P79" i="35"/>
  <c r="AW78" i="35"/>
  <c r="AK78" i="35"/>
  <c r="Y78" i="35"/>
  <c r="BF77" i="35"/>
  <c r="AT77" i="35"/>
  <c r="AH77" i="35"/>
  <c r="V77" i="35"/>
  <c r="BC76" i="35"/>
  <c r="AQ76" i="35"/>
  <c r="AE76" i="35"/>
  <c r="S76" i="35"/>
  <c r="AZ75" i="35"/>
  <c r="AN75" i="35"/>
  <c r="AB75" i="35"/>
  <c r="P75" i="35"/>
  <c r="AW74" i="35"/>
  <c r="AK74" i="35"/>
  <c r="Y74" i="35"/>
  <c r="BF73" i="35"/>
  <c r="AT73" i="35"/>
  <c r="AH73" i="35"/>
  <c r="V73" i="35"/>
  <c r="BD79" i="35"/>
  <c r="AX77" i="35"/>
  <c r="AI76" i="35"/>
  <c r="T75" i="35"/>
  <c r="AC74" i="35"/>
  <c r="AK77" i="35"/>
  <c r="AW73" i="35"/>
  <c r="BB80" i="35"/>
  <c r="AP80" i="35"/>
  <c r="AD80" i="35"/>
  <c r="R80" i="35"/>
  <c r="N13" i="48" s="1"/>
  <c r="AY79" i="35"/>
  <c r="AM79" i="35"/>
  <c r="AA79" i="35"/>
  <c r="O79" i="35"/>
  <c r="AV78" i="35"/>
  <c r="AJ78" i="35"/>
  <c r="X78" i="35"/>
  <c r="BE77" i="35"/>
  <c r="AS77" i="35"/>
  <c r="AG77" i="35"/>
  <c r="U77" i="35"/>
  <c r="BB76" i="35"/>
  <c r="AP76" i="35"/>
  <c r="AD76" i="35"/>
  <c r="R76" i="35"/>
  <c r="AY75" i="35"/>
  <c r="AM75" i="35"/>
  <c r="AA75" i="35"/>
  <c r="O75" i="35"/>
  <c r="AV74" i="35"/>
  <c r="AJ74" i="35"/>
  <c r="X74" i="35"/>
  <c r="BE73" i="35"/>
  <c r="AS73" i="35"/>
  <c r="AG73" i="35"/>
  <c r="U73" i="35"/>
  <c r="AU80" i="35"/>
  <c r="AL77" i="35"/>
  <c r="BD75" i="35"/>
  <c r="AL73" i="35"/>
  <c r="AE79" i="35"/>
  <c r="P78" i="35"/>
  <c r="AH76" i="35"/>
  <c r="S75" i="35"/>
  <c r="P74" i="35"/>
  <c r="BA80" i="35"/>
  <c r="AO80" i="35"/>
  <c r="AC80" i="35"/>
  <c r="Q80" i="35"/>
  <c r="AX79" i="35"/>
  <c r="AL79" i="35"/>
  <c r="Z79" i="35"/>
  <c r="N79" i="35"/>
  <c r="AU78" i="35"/>
  <c r="AI78" i="35"/>
  <c r="W78" i="35"/>
  <c r="BD77" i="35"/>
  <c r="AR77" i="35"/>
  <c r="AF77" i="35"/>
  <c r="T77" i="35"/>
  <c r="BA76" i="35"/>
  <c r="AO76" i="35"/>
  <c r="AC76" i="35"/>
  <c r="Q76" i="35"/>
  <c r="AX75" i="35"/>
  <c r="AL75" i="35"/>
  <c r="Z75" i="35"/>
  <c r="N75" i="35"/>
  <c r="AU74" i="35"/>
  <c r="AI74" i="35"/>
  <c r="W74" i="35"/>
  <c r="BD73" i="35"/>
  <c r="AR73" i="35"/>
  <c r="AF73" i="35"/>
  <c r="T73" i="35"/>
  <c r="AR79" i="35"/>
  <c r="AO74" i="35"/>
  <c r="S79" i="35"/>
  <c r="V76" i="35"/>
  <c r="AZ80" i="35"/>
  <c r="AN80" i="35"/>
  <c r="AB80" i="35"/>
  <c r="P80" i="35"/>
  <c r="AW79" i="35"/>
  <c r="AK79" i="35"/>
  <c r="Y79" i="35"/>
  <c r="BF78" i="35"/>
  <c r="AT78" i="35"/>
  <c r="AH78" i="35"/>
  <c r="V78" i="35"/>
  <c r="BC77" i="35"/>
  <c r="AQ77" i="35"/>
  <c r="AE77" i="35"/>
  <c r="S77" i="35"/>
  <c r="AZ76" i="35"/>
  <c r="AN76" i="35"/>
  <c r="AB76" i="35"/>
  <c r="P76" i="35"/>
  <c r="AW75" i="35"/>
  <c r="AK75" i="35"/>
  <c r="Y75" i="35"/>
  <c r="BF74" i="35"/>
  <c r="AT74" i="35"/>
  <c r="AH74" i="35"/>
  <c r="V74" i="35"/>
  <c r="BC73" i="35"/>
  <c r="AQ73" i="35"/>
  <c r="AE73" i="35"/>
  <c r="S73" i="35"/>
  <c r="AO78" i="35"/>
  <c r="Z77" i="35"/>
  <c r="W76" i="35"/>
  <c r="Q74" i="35"/>
  <c r="AQ79" i="35"/>
  <c r="AB78" i="35"/>
  <c r="AT76" i="35"/>
  <c r="AZ74" i="35"/>
  <c r="AK73" i="35"/>
  <c r="AY80" i="35"/>
  <c r="AM80" i="35"/>
  <c r="AA80" i="35"/>
  <c r="O80" i="35"/>
  <c r="AV79" i="35"/>
  <c r="AJ79" i="35"/>
  <c r="X79" i="35"/>
  <c r="BE78" i="35"/>
  <c r="AS78" i="35"/>
  <c r="AG78" i="35"/>
  <c r="U78" i="35"/>
  <c r="BB77" i="35"/>
  <c r="AP77" i="35"/>
  <c r="AD77" i="35"/>
  <c r="R77" i="35"/>
  <c r="AY76" i="35"/>
  <c r="AM76" i="35"/>
  <c r="AA76" i="35"/>
  <c r="O76" i="35"/>
  <c r="AV75" i="35"/>
  <c r="AJ75" i="35"/>
  <c r="X75" i="35"/>
  <c r="BE74" i="35"/>
  <c r="AS74" i="35"/>
  <c r="AG74" i="35"/>
  <c r="U74" i="35"/>
  <c r="BB73" i="35"/>
  <c r="AP73" i="35"/>
  <c r="AD73" i="35"/>
  <c r="R73" i="35"/>
  <c r="W80" i="35"/>
  <c r="AC78" i="35"/>
  <c r="AU76" i="35"/>
  <c r="BA74" i="35"/>
  <c r="AT80" i="35"/>
  <c r="Y77" i="35"/>
  <c r="AB74" i="35"/>
  <c r="AX80" i="35"/>
  <c r="D13" i="48" s="1"/>
  <c r="AL80" i="35"/>
  <c r="Z80" i="35"/>
  <c r="N80" i="35"/>
  <c r="AU79" i="35"/>
  <c r="AI79" i="35"/>
  <c r="W79" i="35"/>
  <c r="BD78" i="35"/>
  <c r="AR78" i="35"/>
  <c r="AF78" i="35"/>
  <c r="T78" i="35"/>
  <c r="BA77" i="35"/>
  <c r="AO77" i="35"/>
  <c r="AC77" i="35"/>
  <c r="Q77" i="35"/>
  <c r="AX76" i="35"/>
  <c r="AL76" i="35"/>
  <c r="Z76" i="35"/>
  <c r="N76" i="35"/>
  <c r="AU75" i="35"/>
  <c r="AI75" i="35"/>
  <c r="W75" i="35"/>
  <c r="BD74" i="35"/>
  <c r="AR74" i="35"/>
  <c r="AF74" i="35"/>
  <c r="T74" i="35"/>
  <c r="BA73" i="35"/>
  <c r="AO73" i="35"/>
  <c r="AC73" i="35"/>
  <c r="Q73" i="35"/>
  <c r="Z73" i="35"/>
  <c r="V80" i="35"/>
  <c r="AQ75" i="35"/>
  <c r="AW80" i="35"/>
  <c r="AK80" i="35"/>
  <c r="Y80" i="35"/>
  <c r="BF79" i="35"/>
  <c r="AT79" i="35"/>
  <c r="AH79" i="35"/>
  <c r="V79" i="35"/>
  <c r="BC78" i="35"/>
  <c r="AQ78" i="35"/>
  <c r="AE78" i="35"/>
  <c r="S78" i="35"/>
  <c r="AZ77" i="35"/>
  <c r="AN77" i="35"/>
  <c r="AB77" i="35"/>
  <c r="P77" i="35"/>
  <c r="AW76" i="35"/>
  <c r="AK76" i="35"/>
  <c r="Y76" i="35"/>
  <c r="BF75" i="35"/>
  <c r="AT75" i="35"/>
  <c r="AH75" i="35"/>
  <c r="V75" i="35"/>
  <c r="BC74" i="35"/>
  <c r="AQ74" i="35"/>
  <c r="AE74" i="35"/>
  <c r="S74" i="35"/>
  <c r="AZ73" i="35"/>
  <c r="AN73" i="35"/>
  <c r="AB73" i="35"/>
  <c r="P73" i="35"/>
  <c r="AF79" i="35"/>
  <c r="N77" i="35"/>
  <c r="AF75" i="35"/>
  <c r="AX73" i="35"/>
  <c r="BF80" i="35"/>
  <c r="AN78" i="35"/>
  <c r="BF76" i="35"/>
  <c r="AN74" i="35"/>
  <c r="AV80" i="35"/>
  <c r="AJ80" i="35"/>
  <c r="X80" i="35"/>
  <c r="BE79" i="35"/>
  <c r="AS79" i="35"/>
  <c r="AG79" i="35"/>
  <c r="U79" i="35"/>
  <c r="BB78" i="35"/>
  <c r="AP78" i="35"/>
  <c r="AD78" i="35"/>
  <c r="R78" i="35"/>
  <c r="AY77" i="35"/>
  <c r="AM77" i="35"/>
  <c r="AA77" i="35"/>
  <c r="O77" i="35"/>
  <c r="AV76" i="35"/>
  <c r="AJ76" i="35"/>
  <c r="X76" i="35"/>
  <c r="BE75" i="35"/>
  <c r="AS75" i="35"/>
  <c r="AG75" i="35"/>
  <c r="U75" i="35"/>
  <c r="BB74" i="35"/>
  <c r="AP74" i="35"/>
  <c r="AD74" i="35"/>
  <c r="R74" i="35"/>
  <c r="AY73" i="35"/>
  <c r="AM73" i="35"/>
  <c r="AA73" i="35"/>
  <c r="O73" i="35"/>
  <c r="BA78" i="35"/>
  <c r="AZ78" i="35"/>
  <c r="BE80" i="35"/>
  <c r="AS80" i="35"/>
  <c r="AG80" i="35"/>
  <c r="U80" i="35"/>
  <c r="BB79" i="35"/>
  <c r="AP79" i="35"/>
  <c r="AD79" i="35"/>
  <c r="R79" i="35"/>
  <c r="AY78" i="35"/>
  <c r="AM78" i="35"/>
  <c r="AA78" i="35"/>
  <c r="O78" i="35"/>
  <c r="AV77" i="35"/>
  <c r="AJ77" i="35"/>
  <c r="X77" i="35"/>
  <c r="BE76" i="35"/>
  <c r="AS76" i="35"/>
  <c r="AG76" i="35"/>
  <c r="U76" i="35"/>
  <c r="BB75" i="35"/>
  <c r="AP75" i="35"/>
  <c r="AD75" i="35"/>
  <c r="R75" i="35"/>
  <c r="AY74" i="35"/>
  <c r="AM74" i="35"/>
  <c r="AA74" i="35"/>
  <c r="O74" i="35"/>
  <c r="AV73" i="35"/>
  <c r="AJ73" i="35"/>
  <c r="X73" i="35"/>
  <c r="T79" i="35"/>
  <c r="AH80" i="35"/>
  <c r="AW77" i="35"/>
  <c r="AE75" i="35"/>
  <c r="Y73" i="35"/>
  <c r="M71" i="35"/>
  <c r="BC63" i="35"/>
  <c r="BD63" i="35"/>
  <c r="BB63" i="35"/>
  <c r="BE63" i="35"/>
  <c r="BF63" i="35"/>
  <c r="BE53" i="35"/>
  <c r="AS53" i="35"/>
  <c r="AG53" i="35"/>
  <c r="U53" i="35"/>
  <c r="BB52" i="35"/>
  <c r="AP52" i="35"/>
  <c r="AD52" i="35"/>
  <c r="R52" i="35"/>
  <c r="AY51" i="35"/>
  <c r="AM51" i="35"/>
  <c r="AA51" i="35"/>
  <c r="O51" i="35"/>
  <c r="AV50" i="35"/>
  <c r="AJ50" i="35"/>
  <c r="X50" i="35"/>
  <c r="BE49" i="35"/>
  <c r="AS49" i="35"/>
  <c r="AG49" i="35"/>
  <c r="U49" i="35"/>
  <c r="BB48" i="35"/>
  <c r="AP48" i="35"/>
  <c r="AD48" i="35"/>
  <c r="R48" i="35"/>
  <c r="AY47" i="35"/>
  <c r="AM47" i="35"/>
  <c r="AA47" i="35"/>
  <c r="O47" i="35"/>
  <c r="AV46" i="35"/>
  <c r="AJ46" i="35"/>
  <c r="X46" i="35"/>
  <c r="BD53" i="35"/>
  <c r="AR53" i="35"/>
  <c r="AF53" i="35"/>
  <c r="T53" i="35"/>
  <c r="BA52" i="35"/>
  <c r="AO52" i="35"/>
  <c r="AC52" i="35"/>
  <c r="Q52" i="35"/>
  <c r="AX51" i="35"/>
  <c r="AL51" i="35"/>
  <c r="Z51" i="35"/>
  <c r="N51" i="35"/>
  <c r="AU50" i="35"/>
  <c r="AI50" i="35"/>
  <c r="W50" i="35"/>
  <c r="BD49" i="35"/>
  <c r="AR49" i="35"/>
  <c r="AF49" i="35"/>
  <c r="T49" i="35"/>
  <c r="BA48" i="35"/>
  <c r="AO48" i="35"/>
  <c r="AC48" i="35"/>
  <c r="Q48" i="35"/>
  <c r="AX47" i="35"/>
  <c r="AL47" i="35"/>
  <c r="Z47" i="35"/>
  <c r="N47" i="35"/>
  <c r="BC53" i="35"/>
  <c r="AQ53" i="35"/>
  <c r="AE53" i="35"/>
  <c r="S53" i="35"/>
  <c r="AZ52" i="35"/>
  <c r="AN52" i="35"/>
  <c r="AB52" i="35"/>
  <c r="P52" i="35"/>
  <c r="AW51" i="35"/>
  <c r="AK51" i="35"/>
  <c r="Y51" i="35"/>
  <c r="BF50" i="35"/>
  <c r="AT50" i="35"/>
  <c r="AH50" i="35"/>
  <c r="V50" i="35"/>
  <c r="BC49" i="35"/>
  <c r="AQ49" i="35"/>
  <c r="AE49" i="35"/>
  <c r="S49" i="35"/>
  <c r="AZ48" i="35"/>
  <c r="AN48" i="35"/>
  <c r="AB48" i="35"/>
  <c r="P48" i="35"/>
  <c r="AW47" i="35"/>
  <c r="AK47" i="35"/>
  <c r="Y47" i="35"/>
  <c r="BF46" i="35"/>
  <c r="AT46" i="35"/>
  <c r="AH46" i="35"/>
  <c r="V46" i="35"/>
  <c r="BB53" i="35"/>
  <c r="AP53" i="35"/>
  <c r="AD53" i="35"/>
  <c r="R53" i="35"/>
  <c r="N10" i="48" s="1"/>
  <c r="AY52" i="35"/>
  <c r="AM52" i="35"/>
  <c r="AA52" i="35"/>
  <c r="O52" i="35"/>
  <c r="AV51" i="35"/>
  <c r="AJ51" i="35"/>
  <c r="X51" i="35"/>
  <c r="BE50" i="35"/>
  <c r="AS50" i="35"/>
  <c r="AG50" i="35"/>
  <c r="U50" i="35"/>
  <c r="BB49" i="35"/>
  <c r="AP49" i="35"/>
  <c r="AD49" i="35"/>
  <c r="R49" i="35"/>
  <c r="AY48" i="35"/>
  <c r="AM48" i="35"/>
  <c r="AA48" i="35"/>
  <c r="O48" i="35"/>
  <c r="AV47" i="35"/>
  <c r="AJ47" i="35"/>
  <c r="X47" i="35"/>
  <c r="BE46" i="35"/>
  <c r="AS46" i="35"/>
  <c r="AG46" i="35"/>
  <c r="U46" i="35"/>
  <c r="BA53" i="35"/>
  <c r="AO53" i="35"/>
  <c r="AC53" i="35"/>
  <c r="Q53" i="35"/>
  <c r="AX52" i="35"/>
  <c r="AL52" i="35"/>
  <c r="Z52" i="35"/>
  <c r="N52" i="35"/>
  <c r="AU51" i="35"/>
  <c r="AI51" i="35"/>
  <c r="W51" i="35"/>
  <c r="BD50" i="35"/>
  <c r="AR50" i="35"/>
  <c r="AF50" i="35"/>
  <c r="T50" i="35"/>
  <c r="BA49" i="35"/>
  <c r="AO49" i="35"/>
  <c r="AC49" i="35"/>
  <c r="Q49" i="35"/>
  <c r="AX48" i="35"/>
  <c r="AL48" i="35"/>
  <c r="Z48" i="35"/>
  <c r="N48" i="35"/>
  <c r="AU47" i="35"/>
  <c r="AI47" i="35"/>
  <c r="W47" i="35"/>
  <c r="BD46" i="35"/>
  <c r="AR46" i="35"/>
  <c r="AF46" i="35"/>
  <c r="T46" i="35"/>
  <c r="AZ53" i="35"/>
  <c r="AN53" i="35"/>
  <c r="AB53" i="35"/>
  <c r="P53" i="35"/>
  <c r="AW52" i="35"/>
  <c r="AK52" i="35"/>
  <c r="Y52" i="35"/>
  <c r="BF51" i="35"/>
  <c r="AT51" i="35"/>
  <c r="AH51" i="35"/>
  <c r="V51" i="35"/>
  <c r="BC50" i="35"/>
  <c r="AQ50" i="35"/>
  <c r="AE50" i="35"/>
  <c r="S50" i="35"/>
  <c r="AZ49" i="35"/>
  <c r="AN49" i="35"/>
  <c r="AB49" i="35"/>
  <c r="P49" i="35"/>
  <c r="AW48" i="35"/>
  <c r="AK48" i="35"/>
  <c r="Y48" i="35"/>
  <c r="BF47" i="35"/>
  <c r="AT47" i="35"/>
  <c r="AH47" i="35"/>
  <c r="V47" i="35"/>
  <c r="BC46" i="35"/>
  <c r="AQ46" i="35"/>
  <c r="AE46" i="35"/>
  <c r="S46" i="35"/>
  <c r="AY53" i="35"/>
  <c r="AM53" i="35"/>
  <c r="AA53" i="35"/>
  <c r="O53" i="35"/>
  <c r="AV52" i="35"/>
  <c r="AJ52" i="35"/>
  <c r="X52" i="35"/>
  <c r="BE51" i="35"/>
  <c r="AS51" i="35"/>
  <c r="AG51" i="35"/>
  <c r="U51" i="35"/>
  <c r="BB50" i="35"/>
  <c r="AP50" i="35"/>
  <c r="AD50" i="35"/>
  <c r="R50" i="35"/>
  <c r="AY49" i="35"/>
  <c r="AM49" i="35"/>
  <c r="AA49" i="35"/>
  <c r="O49" i="35"/>
  <c r="AV48" i="35"/>
  <c r="AJ48" i="35"/>
  <c r="X48" i="35"/>
  <c r="BE47" i="35"/>
  <c r="AS47" i="35"/>
  <c r="AG47" i="35"/>
  <c r="U47" i="35"/>
  <c r="BB46" i="35"/>
  <c r="AP46" i="35"/>
  <c r="AD46" i="35"/>
  <c r="R46" i="35"/>
  <c r="AX53" i="35"/>
  <c r="D10" i="48" s="1"/>
  <c r="AL53" i="35"/>
  <c r="Z53" i="35"/>
  <c r="N53" i="35"/>
  <c r="AU52" i="35"/>
  <c r="AI52" i="35"/>
  <c r="W52" i="35"/>
  <c r="BD51" i="35"/>
  <c r="AR51" i="35"/>
  <c r="AF51" i="35"/>
  <c r="T51" i="35"/>
  <c r="BA50" i="35"/>
  <c r="AO50" i="35"/>
  <c r="AC50" i="35"/>
  <c r="Q50" i="35"/>
  <c r="AX49" i="35"/>
  <c r="AL49" i="35"/>
  <c r="Z49" i="35"/>
  <c r="N49" i="35"/>
  <c r="AU48" i="35"/>
  <c r="AI48" i="35"/>
  <c r="W48" i="35"/>
  <c r="BD47" i="35"/>
  <c r="AR47" i="35"/>
  <c r="AF47" i="35"/>
  <c r="T47" i="35"/>
  <c r="BA46" i="35"/>
  <c r="AO46" i="35"/>
  <c r="AC46" i="35"/>
  <c r="Q46" i="35"/>
  <c r="AW53" i="35"/>
  <c r="AK53" i="35"/>
  <c r="Y53" i="35"/>
  <c r="BF52" i="35"/>
  <c r="AT52" i="35"/>
  <c r="AH52" i="35"/>
  <c r="V52" i="35"/>
  <c r="BC51" i="35"/>
  <c r="AQ51" i="35"/>
  <c r="AE51" i="35"/>
  <c r="S51" i="35"/>
  <c r="AZ50" i="35"/>
  <c r="AN50" i="35"/>
  <c r="AB50" i="35"/>
  <c r="P50" i="35"/>
  <c r="AW49" i="35"/>
  <c r="AK49" i="35"/>
  <c r="Y49" i="35"/>
  <c r="BF48" i="35"/>
  <c r="AT48" i="35"/>
  <c r="AH48" i="35"/>
  <c r="V48" i="35"/>
  <c r="BC47" i="35"/>
  <c r="AQ47" i="35"/>
  <c r="AE47" i="35"/>
  <c r="S47" i="35"/>
  <c r="AZ46" i="35"/>
  <c r="AN46" i="35"/>
  <c r="AB46" i="35"/>
  <c r="P46" i="35"/>
  <c r="BF53" i="35"/>
  <c r="AT53" i="35"/>
  <c r="AH53" i="35"/>
  <c r="V53" i="35"/>
  <c r="BC52" i="35"/>
  <c r="AQ52" i="35"/>
  <c r="AE52" i="35"/>
  <c r="S52" i="35"/>
  <c r="AZ51" i="35"/>
  <c r="AN51" i="35"/>
  <c r="AB51" i="35"/>
  <c r="P51" i="35"/>
  <c r="AW50" i="35"/>
  <c r="AK50" i="35"/>
  <c r="Y50" i="35"/>
  <c r="BF49" i="35"/>
  <c r="AT49" i="35"/>
  <c r="AH49" i="35"/>
  <c r="V49" i="35"/>
  <c r="BC48" i="35"/>
  <c r="AQ48" i="35"/>
  <c r="AE48" i="35"/>
  <c r="S48" i="35"/>
  <c r="AZ47" i="35"/>
  <c r="AN47" i="35"/>
  <c r="AB47" i="35"/>
  <c r="P47" i="35"/>
  <c r="AW46" i="35"/>
  <c r="AK46" i="35"/>
  <c r="Y46" i="35"/>
  <c r="AV53" i="35"/>
  <c r="U52" i="35"/>
  <c r="AM50" i="35"/>
  <c r="BE48" i="35"/>
  <c r="AD47" i="35"/>
  <c r="W46" i="35"/>
  <c r="AU53" i="35"/>
  <c r="T52" i="35"/>
  <c r="AL50" i="35"/>
  <c r="BD48" i="35"/>
  <c r="AC47" i="35"/>
  <c r="O46" i="35"/>
  <c r="AC51" i="35"/>
  <c r="AU49" i="35"/>
  <c r="AJ53" i="35"/>
  <c r="BB51" i="35"/>
  <c r="AA50" i="35"/>
  <c r="AS48" i="35"/>
  <c r="R47" i="35"/>
  <c r="BD52" i="35"/>
  <c r="AI53" i="35"/>
  <c r="BA51" i="35"/>
  <c r="Z50" i="35"/>
  <c r="AR48" i="35"/>
  <c r="Q47" i="35"/>
  <c r="X53" i="35"/>
  <c r="AP51" i="35"/>
  <c r="O50" i="35"/>
  <c r="AG48" i="35"/>
  <c r="AY46" i="35"/>
  <c r="AM46" i="35"/>
  <c r="W53" i="35"/>
  <c r="AO51" i="35"/>
  <c r="N50" i="35"/>
  <c r="AF48" i="35"/>
  <c r="AX46" i="35"/>
  <c r="T48" i="35"/>
  <c r="BE52" i="35"/>
  <c r="AD51" i="35"/>
  <c r="AV49" i="35"/>
  <c r="U48" i="35"/>
  <c r="AU46" i="35"/>
  <c r="AR52" i="35"/>
  <c r="Q51" i="35"/>
  <c r="AI49" i="35"/>
  <c r="BA47" i="35"/>
  <c r="AI46" i="35"/>
  <c r="AG52" i="35"/>
  <c r="AY50" i="35"/>
  <c r="X49" i="35"/>
  <c r="AP47" i="35"/>
  <c r="AA46" i="35"/>
  <c r="R51" i="35"/>
  <c r="AX50" i="35"/>
  <c r="W49" i="35"/>
  <c r="AF52" i="35"/>
  <c r="AJ49" i="35"/>
  <c r="BB47" i="35"/>
  <c r="AO47" i="35"/>
  <c r="AL46" i="35"/>
  <c r="Z46" i="35"/>
  <c r="AS52" i="35"/>
  <c r="BF62" i="35"/>
  <c r="AT62" i="35"/>
  <c r="AH62" i="35"/>
  <c r="V62" i="35"/>
  <c r="BC61" i="35"/>
  <c r="AQ61" i="35"/>
  <c r="AE61" i="35"/>
  <c r="S61" i="35"/>
  <c r="AZ60" i="35"/>
  <c r="AN60" i="35"/>
  <c r="AB60" i="35"/>
  <c r="P60" i="35"/>
  <c r="AW59" i="35"/>
  <c r="AK59" i="35"/>
  <c r="Y59" i="35"/>
  <c r="BF58" i="35"/>
  <c r="AT58" i="35"/>
  <c r="AH58" i="35"/>
  <c r="V58" i="35"/>
  <c r="BC57" i="35"/>
  <c r="AQ57" i="35"/>
  <c r="AE57" i="35"/>
  <c r="S57" i="35"/>
  <c r="AZ56" i="35"/>
  <c r="AN56" i="35"/>
  <c r="AB56" i="35"/>
  <c r="P56" i="35"/>
  <c r="AW55" i="35"/>
  <c r="AK55" i="35"/>
  <c r="Y55" i="35"/>
  <c r="BE62" i="35"/>
  <c r="AS62" i="35"/>
  <c r="AG62" i="35"/>
  <c r="U62" i="35"/>
  <c r="BB61" i="35"/>
  <c r="AP61" i="35"/>
  <c r="AD61" i="35"/>
  <c r="R61" i="35"/>
  <c r="AY60" i="35"/>
  <c r="AM60" i="35"/>
  <c r="AA60" i="35"/>
  <c r="O60" i="35"/>
  <c r="AV59" i="35"/>
  <c r="AJ59" i="35"/>
  <c r="X59" i="35"/>
  <c r="BE58" i="35"/>
  <c r="AS58" i="35"/>
  <c r="AG58" i="35"/>
  <c r="U58" i="35"/>
  <c r="BB57" i="35"/>
  <c r="AP57" i="35"/>
  <c r="AD57" i="35"/>
  <c r="R57" i="35"/>
  <c r="AY56" i="35"/>
  <c r="AM56" i="35"/>
  <c r="AA56" i="35"/>
  <c r="O56" i="35"/>
  <c r="AV55" i="35"/>
  <c r="AJ55" i="35"/>
  <c r="X55" i="35"/>
  <c r="BD62" i="35"/>
  <c r="AR62" i="35"/>
  <c r="AF62" i="35"/>
  <c r="T62" i="35"/>
  <c r="BA61" i="35"/>
  <c r="AO61" i="35"/>
  <c r="AC61" i="35"/>
  <c r="Q61" i="35"/>
  <c r="AX60" i="35"/>
  <c r="AL60" i="35"/>
  <c r="Z60" i="35"/>
  <c r="N60" i="35"/>
  <c r="AU59" i="35"/>
  <c r="AI59" i="35"/>
  <c r="W59" i="35"/>
  <c r="BD58" i="35"/>
  <c r="AR58" i="35"/>
  <c r="AF58" i="35"/>
  <c r="T58" i="35"/>
  <c r="BA57" i="35"/>
  <c r="AO57" i="35"/>
  <c r="AC57" i="35"/>
  <c r="Q57" i="35"/>
  <c r="AX56" i="35"/>
  <c r="AL56" i="35"/>
  <c r="Z56" i="35"/>
  <c r="N56" i="35"/>
  <c r="AU55" i="35"/>
  <c r="AI55" i="35"/>
  <c r="W55" i="35"/>
  <c r="BC62" i="35"/>
  <c r="AQ62" i="35"/>
  <c r="AE62" i="35"/>
  <c r="S62" i="35"/>
  <c r="AZ61" i="35"/>
  <c r="AN61" i="35"/>
  <c r="AB61" i="35"/>
  <c r="P61" i="35"/>
  <c r="AW60" i="35"/>
  <c r="AK60" i="35"/>
  <c r="AK54" i="35" s="1"/>
  <c r="Y60" i="35"/>
  <c r="BF59" i="35"/>
  <c r="AT59" i="35"/>
  <c r="AH59" i="35"/>
  <c r="V59" i="35"/>
  <c r="BC58" i="35"/>
  <c r="AQ58" i="35"/>
  <c r="AE58" i="35"/>
  <c r="S58" i="35"/>
  <c r="AZ57" i="35"/>
  <c r="AN57" i="35"/>
  <c r="AB57" i="35"/>
  <c r="P57" i="35"/>
  <c r="AW56" i="35"/>
  <c r="AK56" i="35"/>
  <c r="Y56" i="35"/>
  <c r="BF55" i="35"/>
  <c r="AT55" i="35"/>
  <c r="AH55" i="35"/>
  <c r="V55" i="35"/>
  <c r="BB62" i="35"/>
  <c r="AP62" i="35"/>
  <c r="AD62" i="35"/>
  <c r="R62" i="35"/>
  <c r="N11" i="48" s="1"/>
  <c r="AY61" i="35"/>
  <c r="AM61" i="35"/>
  <c r="AA61" i="35"/>
  <c r="O61" i="35"/>
  <c r="AV60" i="35"/>
  <c r="AJ60" i="35"/>
  <c r="X60" i="35"/>
  <c r="BE59" i="35"/>
  <c r="AS59" i="35"/>
  <c r="AG59" i="35"/>
  <c r="U59" i="35"/>
  <c r="BB58" i="35"/>
  <c r="AP58" i="35"/>
  <c r="AD58" i="35"/>
  <c r="R58" i="35"/>
  <c r="AY57" i="35"/>
  <c r="AM57" i="35"/>
  <c r="AA57" i="35"/>
  <c r="O57" i="35"/>
  <c r="AV56" i="35"/>
  <c r="AJ56" i="35"/>
  <c r="X56" i="35"/>
  <c r="BE55" i="35"/>
  <c r="AS55" i="35"/>
  <c r="AG55" i="35"/>
  <c r="U55" i="35"/>
  <c r="BA62" i="35"/>
  <c r="AO62" i="35"/>
  <c r="AC62" i="35"/>
  <c r="Q62" i="35"/>
  <c r="AX61" i="35"/>
  <c r="AL61" i="35"/>
  <c r="Z61" i="35"/>
  <c r="N61" i="35"/>
  <c r="AU60" i="35"/>
  <c r="AI60" i="35"/>
  <c r="AI54" i="35" s="1"/>
  <c r="W60" i="35"/>
  <c r="BD59" i="35"/>
  <c r="AR59" i="35"/>
  <c r="AF59" i="35"/>
  <c r="T59" i="35"/>
  <c r="BA58" i="35"/>
  <c r="AO58" i="35"/>
  <c r="AC58" i="35"/>
  <c r="Q58" i="35"/>
  <c r="AX57" i="35"/>
  <c r="AL57" i="35"/>
  <c r="Z57" i="35"/>
  <c r="Z54" i="35" s="1"/>
  <c r="N57" i="35"/>
  <c r="AU56" i="35"/>
  <c r="AI56" i="35"/>
  <c r="W56" i="35"/>
  <c r="BD55" i="35"/>
  <c r="AR55" i="35"/>
  <c r="AF55" i="35"/>
  <c r="T55" i="35"/>
  <c r="AZ62" i="35"/>
  <c r="AN62" i="35"/>
  <c r="AB62" i="35"/>
  <c r="P62" i="35"/>
  <c r="AW61" i="35"/>
  <c r="AK61" i="35"/>
  <c r="Y61" i="35"/>
  <c r="BF60" i="35"/>
  <c r="AT60" i="35"/>
  <c r="AH60" i="35"/>
  <c r="V60" i="35"/>
  <c r="BC59" i="35"/>
  <c r="AQ59" i="35"/>
  <c r="AE59" i="35"/>
  <c r="S59" i="35"/>
  <c r="AZ58" i="35"/>
  <c r="AN58" i="35"/>
  <c r="AB58" i="35"/>
  <c r="P58" i="35"/>
  <c r="AW57" i="35"/>
  <c r="AK57" i="35"/>
  <c r="Y57" i="35"/>
  <c r="BF56" i="35"/>
  <c r="AT56" i="35"/>
  <c r="AH56" i="35"/>
  <c r="V56" i="35"/>
  <c r="BC55" i="35"/>
  <c r="AQ55" i="35"/>
  <c r="AE55" i="35"/>
  <c r="S55" i="35"/>
  <c r="AY62" i="35"/>
  <c r="AM62" i="35"/>
  <c r="AA62" i="35"/>
  <c r="O62" i="35"/>
  <c r="AV61" i="35"/>
  <c r="AJ61" i="35"/>
  <c r="X61" i="35"/>
  <c r="BE60" i="35"/>
  <c r="AS60" i="35"/>
  <c r="AG60" i="35"/>
  <c r="U60" i="35"/>
  <c r="BB59" i="35"/>
  <c r="AP59" i="35"/>
  <c r="AD59" i="35"/>
  <c r="R59" i="35"/>
  <c r="AY58" i="35"/>
  <c r="AM58" i="35"/>
  <c r="AA58" i="35"/>
  <c r="O58" i="35"/>
  <c r="AV57" i="35"/>
  <c r="AJ57" i="35"/>
  <c r="X57" i="35"/>
  <c r="X54" i="35" s="1"/>
  <c r="BE56" i="35"/>
  <c r="AS56" i="35"/>
  <c r="AG56" i="35"/>
  <c r="U56" i="35"/>
  <c r="BB55" i="35"/>
  <c r="AP55" i="35"/>
  <c r="AD55" i="35"/>
  <c r="R55" i="35"/>
  <c r="AX62" i="35"/>
  <c r="D11" i="48" s="1"/>
  <c r="AL62" i="35"/>
  <c r="Z62" i="35"/>
  <c r="N62" i="35"/>
  <c r="AU61" i="35"/>
  <c r="AI61" i="35"/>
  <c r="W61" i="35"/>
  <c r="BD60" i="35"/>
  <c r="AR60" i="35"/>
  <c r="AF60" i="35"/>
  <c r="T60" i="35"/>
  <c r="BA59" i="35"/>
  <c r="AO59" i="35"/>
  <c r="AC59" i="35"/>
  <c r="Q59" i="35"/>
  <c r="AX58" i="35"/>
  <c r="AL58" i="35"/>
  <c r="Z58" i="35"/>
  <c r="N58" i="35"/>
  <c r="AU57" i="35"/>
  <c r="AI57" i="35"/>
  <c r="W57" i="35"/>
  <c r="BD56" i="35"/>
  <c r="AR56" i="35"/>
  <c r="AF56" i="35"/>
  <c r="T56" i="35"/>
  <c r="BA55" i="35"/>
  <c r="AO55" i="35"/>
  <c r="AC55" i="35"/>
  <c r="Q55" i="35"/>
  <c r="AU62" i="35"/>
  <c r="AI62" i="35"/>
  <c r="W62" i="35"/>
  <c r="BD61" i="35"/>
  <c r="AR61" i="35"/>
  <c r="AF61" i="35"/>
  <c r="T61" i="35"/>
  <c r="BA60" i="35"/>
  <c r="AO60" i="35"/>
  <c r="AC60" i="35"/>
  <c r="AC54" i="35" s="1"/>
  <c r="Q60" i="35"/>
  <c r="AX59" i="35"/>
  <c r="AL59" i="35"/>
  <c r="Z59" i="35"/>
  <c r="N59" i="35"/>
  <c r="AU58" i="35"/>
  <c r="AI58" i="35"/>
  <c r="W58" i="35"/>
  <c r="BD57" i="35"/>
  <c r="AR57" i="35"/>
  <c r="AF57" i="35"/>
  <c r="T57" i="35"/>
  <c r="M57" i="35" s="1"/>
  <c r="O12" i="37" s="1"/>
  <c r="BA56" i="35"/>
  <c r="AO56" i="35"/>
  <c r="AC56" i="35"/>
  <c r="Q56" i="35"/>
  <c r="AX55" i="35"/>
  <c r="AL55" i="35"/>
  <c r="Z55" i="35"/>
  <c r="AW62" i="35"/>
  <c r="V61" i="35"/>
  <c r="AN59" i="35"/>
  <c r="BF57" i="35"/>
  <c r="AE56" i="35"/>
  <c r="AM55" i="35"/>
  <c r="AV62" i="35"/>
  <c r="U61" i="35"/>
  <c r="AM59" i="35"/>
  <c r="BE57" i="35"/>
  <c r="AD56" i="35"/>
  <c r="AK62" i="35"/>
  <c r="BC60" i="35"/>
  <c r="AB59" i="35"/>
  <c r="AT57" i="35"/>
  <c r="S56" i="35"/>
  <c r="AJ62" i="35"/>
  <c r="BB60" i="35"/>
  <c r="AA59" i="35"/>
  <c r="AS57" i="35"/>
  <c r="R56" i="35"/>
  <c r="AV58" i="35"/>
  <c r="Y62" i="35"/>
  <c r="AQ60" i="35"/>
  <c r="P59" i="35"/>
  <c r="AH57" i="35"/>
  <c r="AZ55" i="35"/>
  <c r="AD60" i="35"/>
  <c r="X62" i="35"/>
  <c r="AP60" i="35"/>
  <c r="O59" i="35"/>
  <c r="AG57" i="35"/>
  <c r="AY55" i="35"/>
  <c r="U57" i="35"/>
  <c r="BF61" i="35"/>
  <c r="AE60" i="35"/>
  <c r="AW58" i="35"/>
  <c r="V57" i="35"/>
  <c r="AN55" i="35"/>
  <c r="BE61" i="35"/>
  <c r="AS61" i="35"/>
  <c r="M61" i="35" s="1"/>
  <c r="AA12" i="37" s="1"/>
  <c r="AJ13" i="41" s="1"/>
  <c r="AU13" i="41" s="1"/>
  <c r="R60" i="35"/>
  <c r="AJ58" i="35"/>
  <c r="BB56" i="35"/>
  <c r="AA55" i="35"/>
  <c r="AH61" i="35"/>
  <c r="AZ59" i="35"/>
  <c r="Y58" i="35"/>
  <c r="AQ56" i="35"/>
  <c r="P55" i="35"/>
  <c r="AT61" i="35"/>
  <c r="AG61" i="35"/>
  <c r="AY59" i="35"/>
  <c r="AY54" i="35" s="1"/>
  <c r="S60" i="35"/>
  <c r="AK58" i="35"/>
  <c r="X58" i="35"/>
  <c r="BC56" i="35"/>
  <c r="AP56" i="35"/>
  <c r="AB55" i="35"/>
  <c r="O55" i="35"/>
  <c r="BD44" i="35"/>
  <c r="AR44" i="35"/>
  <c r="AF44" i="35"/>
  <c r="T44" i="35"/>
  <c r="BA43" i="35"/>
  <c r="AO43" i="35"/>
  <c r="AC43" i="35"/>
  <c r="Q43" i="35"/>
  <c r="AX42" i="35"/>
  <c r="AL42" i="35"/>
  <c r="Z42" i="35"/>
  <c r="N42" i="35"/>
  <c r="AU41" i="35"/>
  <c r="AI41" i="35"/>
  <c r="W41" i="35"/>
  <c r="BD40" i="35"/>
  <c r="AR40" i="35"/>
  <c r="AF40" i="35"/>
  <c r="T40" i="35"/>
  <c r="BA39" i="35"/>
  <c r="AO39" i="35"/>
  <c r="AC39" i="35"/>
  <c r="Q39" i="35"/>
  <c r="AX38" i="35"/>
  <c r="AL38" i="35"/>
  <c r="BB44" i="35"/>
  <c r="AP44" i="35"/>
  <c r="AD44" i="35"/>
  <c r="BA44" i="35"/>
  <c r="AO44" i="35"/>
  <c r="AC44" i="35"/>
  <c r="AZ44" i="35"/>
  <c r="AN44" i="35"/>
  <c r="AB44" i="35"/>
  <c r="P44" i="35"/>
  <c r="AW43" i="35"/>
  <c r="AK43" i="35"/>
  <c r="Y43" i="35"/>
  <c r="BF42" i="35"/>
  <c r="AT42" i="35"/>
  <c r="AH42" i="35"/>
  <c r="V42" i="35"/>
  <c r="BC41" i="35"/>
  <c r="AQ41" i="35"/>
  <c r="AE41" i="35"/>
  <c r="S41" i="35"/>
  <c r="AZ40" i="35"/>
  <c r="AY44" i="35"/>
  <c r="AM44" i="35"/>
  <c r="AA44" i="35"/>
  <c r="O44" i="35"/>
  <c r="AV43" i="35"/>
  <c r="AJ43" i="35"/>
  <c r="X43" i="35"/>
  <c r="BE42" i="35"/>
  <c r="AS42" i="35"/>
  <c r="AG42" i="35"/>
  <c r="U42" i="35"/>
  <c r="BB41" i="35"/>
  <c r="AP41" i="35"/>
  <c r="AD41" i="35"/>
  <c r="R41" i="35"/>
  <c r="AY40" i="35"/>
  <c r="AM40" i="35"/>
  <c r="AA40" i="35"/>
  <c r="O40" i="35"/>
  <c r="AV39" i="35"/>
  <c r="AJ39" i="35"/>
  <c r="X39" i="35"/>
  <c r="BE38" i="35"/>
  <c r="AS38" i="35"/>
  <c r="AG38" i="35"/>
  <c r="AX44" i="35"/>
  <c r="D9" i="48" s="1"/>
  <c r="AL44" i="35"/>
  <c r="Z44" i="35"/>
  <c r="N44" i="35"/>
  <c r="AU43" i="35"/>
  <c r="AI43" i="35"/>
  <c r="W43" i="35"/>
  <c r="BD42" i="35"/>
  <c r="AR42" i="35"/>
  <c r="AF42" i="35"/>
  <c r="T42" i="35"/>
  <c r="BA41" i="35"/>
  <c r="AO41" i="35"/>
  <c r="AC41" i="35"/>
  <c r="Q41" i="35"/>
  <c r="AX40" i="35"/>
  <c r="AL40" i="35"/>
  <c r="Z40" i="35"/>
  <c r="N40" i="35"/>
  <c r="AU39" i="35"/>
  <c r="AI39" i="35"/>
  <c r="W39" i="35"/>
  <c r="BD38" i="35"/>
  <c r="AR38" i="35"/>
  <c r="AF38" i="35"/>
  <c r="AV44" i="35"/>
  <c r="AJ44" i="35"/>
  <c r="X44" i="35"/>
  <c r="BE43" i="35"/>
  <c r="AS43" i="35"/>
  <c r="AG43" i="35"/>
  <c r="U43" i="35"/>
  <c r="BB42" i="35"/>
  <c r="AP42" i="35"/>
  <c r="AD42" i="35"/>
  <c r="BE44" i="35"/>
  <c r="AS44" i="35"/>
  <c r="AG44" i="35"/>
  <c r="U44" i="35"/>
  <c r="BB43" i="35"/>
  <c r="AP43" i="35"/>
  <c r="AD43" i="35"/>
  <c r="R43" i="35"/>
  <c r="AY42" i="35"/>
  <c r="AM42" i="35"/>
  <c r="AA42" i="35"/>
  <c r="O42" i="35"/>
  <c r="AV41" i="35"/>
  <c r="AJ41" i="35"/>
  <c r="X41" i="35"/>
  <c r="BE40" i="35"/>
  <c r="AS40" i="35"/>
  <c r="AG40" i="35"/>
  <c r="U40" i="35"/>
  <c r="BB39" i="35"/>
  <c r="AP39" i="35"/>
  <c r="AD39" i="35"/>
  <c r="R39" i="35"/>
  <c r="AY38" i="35"/>
  <c r="AM38" i="35"/>
  <c r="AA38" i="35"/>
  <c r="Y44" i="35"/>
  <c r="AT43" i="35"/>
  <c r="V43" i="35"/>
  <c r="AQ42" i="35"/>
  <c r="S42" i="35"/>
  <c r="AS41" i="35"/>
  <c r="Y41" i="35"/>
  <c r="AV40" i="35"/>
  <c r="AD40" i="35"/>
  <c r="BE39" i="35"/>
  <c r="AM39" i="35"/>
  <c r="U39" i="35"/>
  <c r="AV38" i="35"/>
  <c r="AD38" i="35"/>
  <c r="Q38" i="35"/>
  <c r="AX37" i="35"/>
  <c r="AL37" i="35"/>
  <c r="Z37" i="35"/>
  <c r="AC42" i="35"/>
  <c r="BC38" i="35"/>
  <c r="W44" i="35"/>
  <c r="AR43" i="35"/>
  <c r="T43" i="35"/>
  <c r="AO42" i="35"/>
  <c r="R42" i="35"/>
  <c r="AR41" i="35"/>
  <c r="V41" i="35"/>
  <c r="AU40" i="35"/>
  <c r="AC40" i="35"/>
  <c r="BD39" i="35"/>
  <c r="AL39" i="35"/>
  <c r="T39" i="35"/>
  <c r="AU38" i="35"/>
  <c r="AC38" i="35"/>
  <c r="P38" i="35"/>
  <c r="AW37" i="35"/>
  <c r="AK37" i="35"/>
  <c r="Y37" i="35"/>
  <c r="BD43" i="35"/>
  <c r="AZ41" i="35"/>
  <c r="AB39" i="35"/>
  <c r="AQ37" i="35"/>
  <c r="BF44" i="35"/>
  <c r="V44" i="35"/>
  <c r="AQ43" i="35"/>
  <c r="S43" i="35"/>
  <c r="AN42" i="35"/>
  <c r="Q42" i="35"/>
  <c r="AN41" i="35"/>
  <c r="U41" i="35"/>
  <c r="AT40" i="35"/>
  <c r="AB40" i="35"/>
  <c r="BC39" i="35"/>
  <c r="AK39" i="35"/>
  <c r="S39" i="35"/>
  <c r="AT38" i="35"/>
  <c r="AB38" i="35"/>
  <c r="O38" i="35"/>
  <c r="AV37" i="35"/>
  <c r="AJ37" i="35"/>
  <c r="X37" i="35"/>
  <c r="S37" i="35"/>
  <c r="BC44" i="35"/>
  <c r="S44" i="35"/>
  <c r="AN43" i="35"/>
  <c r="P43" i="35"/>
  <c r="AK42" i="35"/>
  <c r="P42" i="35"/>
  <c r="AM41" i="35"/>
  <c r="T41" i="35"/>
  <c r="AQ40" i="35"/>
  <c r="Y40" i="35"/>
  <c r="AZ39" i="35"/>
  <c r="AH39" i="35"/>
  <c r="P39" i="35"/>
  <c r="AQ38" i="35"/>
  <c r="Z38" i="35"/>
  <c r="N38" i="35"/>
  <c r="AU37" i="35"/>
  <c r="AI37" i="35"/>
  <c r="W37" i="35"/>
  <c r="AF43" i="35"/>
  <c r="S40" i="35"/>
  <c r="AE37" i="35"/>
  <c r="AW44" i="35"/>
  <c r="R44" i="35"/>
  <c r="N9" i="48" s="1"/>
  <c r="AM43" i="35"/>
  <c r="O43" i="35"/>
  <c r="AJ42" i="35"/>
  <c r="BF41" i="35"/>
  <c r="AL41" i="35"/>
  <c r="P41" i="35"/>
  <c r="AP40" i="35"/>
  <c r="X40" i="35"/>
  <c r="AY39" i="35"/>
  <c r="AG39" i="35"/>
  <c r="O39" i="35"/>
  <c r="AP38" i="35"/>
  <c r="Y38" i="35"/>
  <c r="BF37" i="35"/>
  <c r="AT37" i="35"/>
  <c r="AH37" i="35"/>
  <c r="V37" i="35"/>
  <c r="AK40" i="35"/>
  <c r="AK38" i="35"/>
  <c r="AU44" i="35"/>
  <c r="Q44" i="35"/>
  <c r="AL43" i="35"/>
  <c r="N43" i="35"/>
  <c r="AI42" i="35"/>
  <c r="BE41" i="35"/>
  <c r="AK41" i="35"/>
  <c r="O41" i="35"/>
  <c r="AO40" i="35"/>
  <c r="W40" i="35"/>
  <c r="AX39" i="35"/>
  <c r="AF39" i="35"/>
  <c r="N39" i="35"/>
  <c r="AO38" i="35"/>
  <c r="X38" i="35"/>
  <c r="BE37" i="35"/>
  <c r="AS37" i="35"/>
  <c r="AG37" i="35"/>
  <c r="U37" i="35"/>
  <c r="BA42" i="35"/>
  <c r="AG41" i="35"/>
  <c r="AT39" i="35"/>
  <c r="BC37" i="35"/>
  <c r="AT44" i="35"/>
  <c r="BF43" i="35"/>
  <c r="AH43" i="35"/>
  <c r="BC42" i="35"/>
  <c r="AE42" i="35"/>
  <c r="BD41" i="35"/>
  <c r="AH41" i="35"/>
  <c r="N41" i="35"/>
  <c r="AN40" i="35"/>
  <c r="V40" i="35"/>
  <c r="AW39" i="35"/>
  <c r="AE39" i="35"/>
  <c r="BF38" i="35"/>
  <c r="AN38" i="35"/>
  <c r="W38" i="35"/>
  <c r="BD37" i="35"/>
  <c r="AR37" i="35"/>
  <c r="AF37" i="35"/>
  <c r="T37" i="35"/>
  <c r="AQ44" i="35"/>
  <c r="BF40" i="35"/>
  <c r="V38" i="35"/>
  <c r="AI44" i="35"/>
  <c r="AZ43" i="35"/>
  <c r="AB43" i="35"/>
  <c r="AW42" i="35"/>
  <c r="Y42" i="35"/>
  <c r="AX41" i="35"/>
  <c r="AB41" i="35"/>
  <c r="BB40" i="35"/>
  <c r="AI40" i="35"/>
  <c r="Q40" i="35"/>
  <c r="AR39" i="35"/>
  <c r="Z39" i="35"/>
  <c r="BA38" i="35"/>
  <c r="AI38" i="35"/>
  <c r="T38" i="35"/>
  <c r="BA37" i="35"/>
  <c r="AO37" i="35"/>
  <c r="AC37" i="35"/>
  <c r="Q37" i="35"/>
  <c r="AH44" i="35"/>
  <c r="AY43" i="35"/>
  <c r="AA43" i="35"/>
  <c r="AV42" i="35"/>
  <c r="X42" i="35"/>
  <c r="AW41" i="35"/>
  <c r="AA41" i="35"/>
  <c r="BA40" i="35"/>
  <c r="AH40" i="35"/>
  <c r="P40" i="35"/>
  <c r="AQ39" i="35"/>
  <c r="Y39" i="35"/>
  <c r="AZ38" i="35"/>
  <c r="AH38" i="35"/>
  <c r="S38" i="35"/>
  <c r="AZ37" i="35"/>
  <c r="AE43" i="35"/>
  <c r="AJ40" i="35"/>
  <c r="U38" i="35"/>
  <c r="O37" i="35"/>
  <c r="Z43" i="35"/>
  <c r="AE40" i="35"/>
  <c r="R38" i="35"/>
  <c r="AU42" i="35"/>
  <c r="BF39" i="35"/>
  <c r="AY37" i="35"/>
  <c r="R37" i="35"/>
  <c r="AZ42" i="35"/>
  <c r="R40" i="35"/>
  <c r="BB37" i="35"/>
  <c r="AB42" i="35"/>
  <c r="AS39" i="35"/>
  <c r="AP37" i="35"/>
  <c r="AJ38" i="35"/>
  <c r="AE38" i="35"/>
  <c r="W42" i="35"/>
  <c r="AN39" i="35"/>
  <c r="AN37" i="35"/>
  <c r="P37" i="35"/>
  <c r="AY41" i="35"/>
  <c r="AA39" i="35"/>
  <c r="AM37" i="35"/>
  <c r="AT41" i="35"/>
  <c r="V39" i="35"/>
  <c r="AD37" i="35"/>
  <c r="AK44" i="35"/>
  <c r="AF41" i="35"/>
  <c r="BB38" i="35"/>
  <c r="AB37" i="35"/>
  <c r="BC40" i="35"/>
  <c r="AX43" i="35"/>
  <c r="AE44" i="35"/>
  <c r="Z41" i="35"/>
  <c r="AW38" i="35"/>
  <c r="AA37" i="35"/>
  <c r="BC43" i="35"/>
  <c r="AW40" i="35"/>
  <c r="BF35" i="35"/>
  <c r="AT35" i="35"/>
  <c r="AH35" i="35"/>
  <c r="V35" i="35"/>
  <c r="BC34" i="35"/>
  <c r="AQ34" i="35"/>
  <c r="AE34" i="35"/>
  <c r="S34" i="35"/>
  <c r="AZ33" i="35"/>
  <c r="AN33" i="35"/>
  <c r="AB33" i="35"/>
  <c r="P33" i="35"/>
  <c r="AW32" i="35"/>
  <c r="AK32" i="35"/>
  <c r="Y32" i="35"/>
  <c r="BF31" i="35"/>
  <c r="AT31" i="35"/>
  <c r="AH31" i="35"/>
  <c r="V31" i="35"/>
  <c r="BC30" i="35"/>
  <c r="AQ30" i="35"/>
  <c r="AE30" i="35"/>
  <c r="S30" i="35"/>
  <c r="AZ29" i="35"/>
  <c r="AN29" i="35"/>
  <c r="AB29" i="35"/>
  <c r="P29" i="35"/>
  <c r="AW28" i="35"/>
  <c r="AK28" i="35"/>
  <c r="Y28" i="35"/>
  <c r="AV34" i="35"/>
  <c r="AP32" i="35"/>
  <c r="AV30" i="35"/>
  <c r="AD28" i="35"/>
  <c r="BE35" i="35"/>
  <c r="AS35" i="35"/>
  <c r="AG35" i="35"/>
  <c r="U35" i="35"/>
  <c r="BB34" i="35"/>
  <c r="AP34" i="35"/>
  <c r="AD34" i="35"/>
  <c r="R34" i="35"/>
  <c r="AY33" i="35"/>
  <c r="AM33" i="35"/>
  <c r="AA33" i="35"/>
  <c r="O33" i="35"/>
  <c r="AV32" i="35"/>
  <c r="AJ32" i="35"/>
  <c r="X32" i="35"/>
  <c r="BE31" i="35"/>
  <c r="AS31" i="35"/>
  <c r="AG31" i="35"/>
  <c r="U31" i="35"/>
  <c r="BB30" i="35"/>
  <c r="AP30" i="35"/>
  <c r="AD30" i="35"/>
  <c r="R30" i="35"/>
  <c r="AY29" i="35"/>
  <c r="AM29" i="35"/>
  <c r="AA29" i="35"/>
  <c r="O29" i="35"/>
  <c r="AV28" i="35"/>
  <c r="AJ28" i="35"/>
  <c r="X28" i="35"/>
  <c r="O35" i="35"/>
  <c r="BE33" i="35"/>
  <c r="AD32" i="35"/>
  <c r="O31" i="35"/>
  <c r="U29" i="35"/>
  <c r="BD35" i="35"/>
  <c r="AR35" i="35"/>
  <c r="AF35" i="35"/>
  <c r="T35" i="35"/>
  <c r="BA34" i="35"/>
  <c r="AO34" i="35"/>
  <c r="AC34" i="35"/>
  <c r="Q34" i="35"/>
  <c r="AX33" i="35"/>
  <c r="AL33" i="35"/>
  <c r="Z33" i="35"/>
  <c r="N33" i="35"/>
  <c r="AU32" i="35"/>
  <c r="AI32" i="35"/>
  <c r="W32" i="35"/>
  <c r="BD31" i="35"/>
  <c r="AR31" i="35"/>
  <c r="AF31" i="35"/>
  <c r="T31" i="35"/>
  <c r="BA30" i="35"/>
  <c r="AO30" i="35"/>
  <c r="AC30" i="35"/>
  <c r="Q30" i="35"/>
  <c r="AX29" i="35"/>
  <c r="AL29" i="35"/>
  <c r="Z29" i="35"/>
  <c r="N29" i="35"/>
  <c r="AU28" i="35"/>
  <c r="AI28" i="35"/>
  <c r="W28" i="35"/>
  <c r="R32" i="35"/>
  <c r="AG29" i="35"/>
  <c r="BC35" i="35"/>
  <c r="AQ35" i="35"/>
  <c r="AE35" i="35"/>
  <c r="S35" i="35"/>
  <c r="AZ34" i="35"/>
  <c r="AN34" i="35"/>
  <c r="AB34" i="35"/>
  <c r="P34" i="35"/>
  <c r="AW33" i="35"/>
  <c r="AK33" i="35"/>
  <c r="Y33" i="35"/>
  <c r="BF32" i="35"/>
  <c r="AT32" i="35"/>
  <c r="AH32" i="35"/>
  <c r="V32" i="35"/>
  <c r="BC31" i="35"/>
  <c r="AQ31" i="35"/>
  <c r="AE31" i="35"/>
  <c r="S31" i="35"/>
  <c r="AZ30" i="35"/>
  <c r="AN30" i="35"/>
  <c r="AB30" i="35"/>
  <c r="P30" i="35"/>
  <c r="AW29" i="35"/>
  <c r="AK29" i="35"/>
  <c r="Y29" i="35"/>
  <c r="BF28" i="35"/>
  <c r="AT28" i="35"/>
  <c r="AH28" i="35"/>
  <c r="V28" i="35"/>
  <c r="AJ34" i="35"/>
  <c r="U33" i="35"/>
  <c r="AA31" i="35"/>
  <c r="X30" i="35"/>
  <c r="AP28" i="35"/>
  <c r="BB35" i="35"/>
  <c r="AP35" i="35"/>
  <c r="AD35" i="35"/>
  <c r="R35" i="35"/>
  <c r="N8" i="48" s="1"/>
  <c r="AY34" i="35"/>
  <c r="AM34" i="35"/>
  <c r="AA34" i="35"/>
  <c r="O34" i="35"/>
  <c r="AV33" i="35"/>
  <c r="AJ33" i="35"/>
  <c r="X33" i="35"/>
  <c r="BE32" i="35"/>
  <c r="AS32" i="35"/>
  <c r="AG32" i="35"/>
  <c r="U32" i="35"/>
  <c r="BB31" i="35"/>
  <c r="AP31" i="35"/>
  <c r="AD31" i="35"/>
  <c r="R31" i="35"/>
  <c r="AY30" i="35"/>
  <c r="AM30" i="35"/>
  <c r="AA30" i="35"/>
  <c r="O30" i="35"/>
  <c r="AV29" i="35"/>
  <c r="AJ29" i="35"/>
  <c r="X29" i="35"/>
  <c r="BE28" i="35"/>
  <c r="AS28" i="35"/>
  <c r="AG28" i="35"/>
  <c r="U28" i="35"/>
  <c r="AY35" i="35"/>
  <c r="AS33" i="35"/>
  <c r="AY31" i="35"/>
  <c r="AJ30" i="35"/>
  <c r="BB28" i="35"/>
  <c r="BA35" i="35"/>
  <c r="AO35" i="35"/>
  <c r="AC35" i="35"/>
  <c r="Q35" i="35"/>
  <c r="AX34" i="35"/>
  <c r="AL34" i="35"/>
  <c r="Z34" i="35"/>
  <c r="N34" i="35"/>
  <c r="AU33" i="35"/>
  <c r="AI33" i="35"/>
  <c r="W33" i="35"/>
  <c r="BD32" i="35"/>
  <c r="AR32" i="35"/>
  <c r="AF32" i="35"/>
  <c r="T32" i="35"/>
  <c r="BA31" i="35"/>
  <c r="AO31" i="35"/>
  <c r="AC31" i="35"/>
  <c r="Q31" i="35"/>
  <c r="AX30" i="35"/>
  <c r="AL30" i="35"/>
  <c r="Z30" i="35"/>
  <c r="N30" i="35"/>
  <c r="AU29" i="35"/>
  <c r="AI29" i="35"/>
  <c r="W29" i="35"/>
  <c r="BD28" i="35"/>
  <c r="AR28" i="35"/>
  <c r="AF28" i="35"/>
  <c r="T28" i="35"/>
  <c r="AM35" i="35"/>
  <c r="X34" i="35"/>
  <c r="BB32" i="35"/>
  <c r="BE29" i="35"/>
  <c r="R28" i="35"/>
  <c r="AZ35" i="35"/>
  <c r="AN35" i="35"/>
  <c r="AB35" i="35"/>
  <c r="P35" i="35"/>
  <c r="AW34" i="35"/>
  <c r="AK34" i="35"/>
  <c r="Y34" i="35"/>
  <c r="BF33" i="35"/>
  <c r="AT33" i="35"/>
  <c r="AH33" i="35"/>
  <c r="V33" i="35"/>
  <c r="BC32" i="35"/>
  <c r="AQ32" i="35"/>
  <c r="AE32" i="35"/>
  <c r="S32" i="35"/>
  <c r="AZ31" i="35"/>
  <c r="AN31" i="35"/>
  <c r="AB31" i="35"/>
  <c r="P31" i="35"/>
  <c r="AW30" i="35"/>
  <c r="AK30" i="35"/>
  <c r="Y30" i="35"/>
  <c r="BF29" i="35"/>
  <c r="AT29" i="35"/>
  <c r="AH29" i="35"/>
  <c r="V29" i="35"/>
  <c r="BC28" i="35"/>
  <c r="AQ28" i="35"/>
  <c r="AE28" i="35"/>
  <c r="S28" i="35"/>
  <c r="AA35" i="35"/>
  <c r="AG33" i="35"/>
  <c r="AM31" i="35"/>
  <c r="AS29" i="35"/>
  <c r="AW35" i="35"/>
  <c r="AK35" i="35"/>
  <c r="Y35" i="35"/>
  <c r="BF34" i="35"/>
  <c r="AT34" i="35"/>
  <c r="AH34" i="35"/>
  <c r="V34" i="35"/>
  <c r="BC33" i="35"/>
  <c r="AQ33" i="35"/>
  <c r="AE33" i="35"/>
  <c r="S33" i="35"/>
  <c r="AZ32" i="35"/>
  <c r="AN32" i="35"/>
  <c r="AB32" i="35"/>
  <c r="P32" i="35"/>
  <c r="AW31" i="35"/>
  <c r="AK31" i="35"/>
  <c r="Y31" i="35"/>
  <c r="BF30" i="35"/>
  <c r="AT30" i="35"/>
  <c r="AH30" i="35"/>
  <c r="V30" i="35"/>
  <c r="BC29" i="35"/>
  <c r="AQ29" i="35"/>
  <c r="AE29" i="35"/>
  <c r="S29" i="35"/>
  <c r="AZ28" i="35"/>
  <c r="AN28" i="35"/>
  <c r="AB28" i="35"/>
  <c r="P28" i="35"/>
  <c r="BD34" i="35"/>
  <c r="BA33" i="35"/>
  <c r="AR30" i="35"/>
  <c r="AX35" i="35"/>
  <c r="D8" i="48" s="1"/>
  <c r="AU34" i="35"/>
  <c r="AR33" i="35"/>
  <c r="AO32" i="35"/>
  <c r="AL31" i="35"/>
  <c r="AI30" i="35"/>
  <c r="AF29" i="35"/>
  <c r="AC28" i="35"/>
  <c r="AA28" i="35"/>
  <c r="AU35" i="35"/>
  <c r="AR34" i="35"/>
  <c r="AO33" i="35"/>
  <c r="AL32" i="35"/>
  <c r="AI31" i="35"/>
  <c r="AF30" i="35"/>
  <c r="AC29" i="35"/>
  <c r="Z28" i="35"/>
  <c r="W31" i="35"/>
  <c r="Q29" i="35"/>
  <c r="BB33" i="35"/>
  <c r="AV31" i="35"/>
  <c r="AP29" i="35"/>
  <c r="AX32" i="35"/>
  <c r="AV35" i="35"/>
  <c r="AS34" i="35"/>
  <c r="AP33" i="35"/>
  <c r="AM32" i="35"/>
  <c r="AJ31" i="35"/>
  <c r="AG30" i="35"/>
  <c r="AD29" i="35"/>
  <c r="AL35" i="35"/>
  <c r="AI34" i="35"/>
  <c r="AF33" i="35"/>
  <c r="AC32" i="35"/>
  <c r="Z31" i="35"/>
  <c r="W30" i="35"/>
  <c r="T29" i="35"/>
  <c r="Q28" i="35"/>
  <c r="X31" i="35"/>
  <c r="AL28" i="35"/>
  <c r="AJ35" i="35"/>
  <c r="AG34" i="35"/>
  <c r="AD33" i="35"/>
  <c r="AA32" i="35"/>
  <c r="U30" i="35"/>
  <c r="R29" i="35"/>
  <c r="O28" i="35"/>
  <c r="T30" i="35"/>
  <c r="BD33" i="35"/>
  <c r="AM28" i="35"/>
  <c r="AI35" i="35"/>
  <c r="AF34" i="35"/>
  <c r="AC33" i="35"/>
  <c r="Z32" i="35"/>
  <c r="Z35" i="35"/>
  <c r="W34" i="35"/>
  <c r="T33" i="35"/>
  <c r="Q32" i="35"/>
  <c r="N31" i="35"/>
  <c r="BD29" i="35"/>
  <c r="BA28" i="35"/>
  <c r="X35" i="35"/>
  <c r="U34" i="35"/>
  <c r="R33" i="35"/>
  <c r="O32" i="35"/>
  <c r="BE30" i="35"/>
  <c r="BB29" i="35"/>
  <c r="AY28" i="35"/>
  <c r="N35" i="35"/>
  <c r="BA32" i="35"/>
  <c r="AU30" i="35"/>
  <c r="AO28" i="35"/>
  <c r="BE34" i="35"/>
  <c r="AY32" i="35"/>
  <c r="AS30" i="35"/>
  <c r="AU31" i="35"/>
  <c r="W35" i="35"/>
  <c r="T34" i="35"/>
  <c r="Q33" i="35"/>
  <c r="N32" i="35"/>
  <c r="BD30" i="35"/>
  <c r="BA29" i="35"/>
  <c r="AX28" i="35"/>
  <c r="AX31" i="35"/>
  <c r="AR29" i="35"/>
  <c r="AO29" i="35"/>
  <c r="BF26" i="35"/>
  <c r="AT26" i="35"/>
  <c r="AH26" i="35"/>
  <c r="V26" i="35"/>
  <c r="BC25" i="35"/>
  <c r="AQ25" i="35"/>
  <c r="AE25" i="35"/>
  <c r="S25" i="35"/>
  <c r="AZ24" i="35"/>
  <c r="AN24" i="35"/>
  <c r="AB24" i="35"/>
  <c r="P24" i="35"/>
  <c r="AW23" i="35"/>
  <c r="AK23" i="35"/>
  <c r="Y23" i="35"/>
  <c r="BF22" i="35"/>
  <c r="AT22" i="35"/>
  <c r="AH22" i="35"/>
  <c r="V22" i="35"/>
  <c r="BC21" i="35"/>
  <c r="AQ21" i="35"/>
  <c r="AE21" i="35"/>
  <c r="S21" i="35"/>
  <c r="AZ20" i="35"/>
  <c r="AN20" i="35"/>
  <c r="AB20" i="35"/>
  <c r="P20" i="35"/>
  <c r="AW19" i="35"/>
  <c r="AK19" i="35"/>
  <c r="Y19" i="35"/>
  <c r="AS25" i="35"/>
  <c r="AC24" i="35"/>
  <c r="AX23" i="35"/>
  <c r="BD21" i="35"/>
  <c r="AC20" i="35"/>
  <c r="Z19" i="35"/>
  <c r="BE26" i="35"/>
  <c r="AS26" i="35"/>
  <c r="AG26" i="35"/>
  <c r="U26" i="35"/>
  <c r="BB25" i="35"/>
  <c r="AP25" i="35"/>
  <c r="AD25" i="35"/>
  <c r="R25" i="35"/>
  <c r="AY24" i="35"/>
  <c r="AM24" i="35"/>
  <c r="AA24" i="35"/>
  <c r="O24" i="35"/>
  <c r="AV23" i="35"/>
  <c r="AJ23" i="35"/>
  <c r="X23" i="35"/>
  <c r="BE22" i="35"/>
  <c r="AS22" i="35"/>
  <c r="AG22" i="35"/>
  <c r="U22" i="35"/>
  <c r="BB21" i="35"/>
  <c r="AP21" i="35"/>
  <c r="AD21" i="35"/>
  <c r="R21" i="35"/>
  <c r="AY20" i="35"/>
  <c r="AM20" i="35"/>
  <c r="AA20" i="35"/>
  <c r="O20" i="35"/>
  <c r="AV19" i="35"/>
  <c r="AJ19" i="35"/>
  <c r="X19" i="35"/>
  <c r="AJ26" i="35"/>
  <c r="AD20" i="35"/>
  <c r="AU26" i="35"/>
  <c r="W22" i="35"/>
  <c r="BD26" i="35"/>
  <c r="AR26" i="35"/>
  <c r="AF26" i="35"/>
  <c r="T26" i="35"/>
  <c r="BA25" i="35"/>
  <c r="AO25" i="35"/>
  <c r="AC25" i="35"/>
  <c r="Q25" i="35"/>
  <c r="AX24" i="35"/>
  <c r="AL24" i="35"/>
  <c r="Z24" i="35"/>
  <c r="N24" i="35"/>
  <c r="AU23" i="35"/>
  <c r="AI23" i="35"/>
  <c r="W23" i="35"/>
  <c r="BD22" i="35"/>
  <c r="AR22" i="35"/>
  <c r="AF22" i="35"/>
  <c r="T22" i="35"/>
  <c r="BA21" i="35"/>
  <c r="AO21" i="35"/>
  <c r="AC21" i="35"/>
  <c r="Q21" i="35"/>
  <c r="AX20" i="35"/>
  <c r="AL20" i="35"/>
  <c r="Z20" i="35"/>
  <c r="N20" i="35"/>
  <c r="AU19" i="35"/>
  <c r="AI19" i="35"/>
  <c r="W19" i="35"/>
  <c r="X26" i="35"/>
  <c r="AJ22" i="35"/>
  <c r="N7" i="48"/>
  <c r="BD25" i="35"/>
  <c r="Z23" i="35"/>
  <c r="BA20" i="35"/>
  <c r="BC26" i="35"/>
  <c r="AQ26" i="35"/>
  <c r="AE26" i="35"/>
  <c r="S24" i="35"/>
  <c r="AZ25" i="35"/>
  <c r="AN25" i="35"/>
  <c r="AB25" i="35"/>
  <c r="P25" i="35"/>
  <c r="AW24" i="35"/>
  <c r="AK24" i="35"/>
  <c r="Y24" i="35"/>
  <c r="BF23" i="35"/>
  <c r="AT23" i="35"/>
  <c r="AH23" i="35"/>
  <c r="V23" i="35"/>
  <c r="BC22" i="35"/>
  <c r="AQ22" i="35"/>
  <c r="AE22" i="35"/>
  <c r="S22" i="35"/>
  <c r="AZ21" i="35"/>
  <c r="AN21" i="35"/>
  <c r="AB21" i="35"/>
  <c r="P21" i="35"/>
  <c r="AW20" i="35"/>
  <c r="AK20" i="35"/>
  <c r="Y20" i="35"/>
  <c r="BF19" i="35"/>
  <c r="AT19" i="35"/>
  <c r="AH19" i="35"/>
  <c r="V19" i="35"/>
  <c r="AV26" i="35"/>
  <c r="AO24" i="35"/>
  <c r="BB26" i="35"/>
  <c r="AP26" i="35"/>
  <c r="AD26" i="35"/>
  <c r="AY25" i="35"/>
  <c r="AM25" i="35"/>
  <c r="AA25" i="35"/>
  <c r="O25" i="35"/>
  <c r="AV24" i="35"/>
  <c r="AJ24" i="35"/>
  <c r="X24" i="35"/>
  <c r="BE23" i="35"/>
  <c r="AS23" i="35"/>
  <c r="AG23" i="35"/>
  <c r="U23" i="35"/>
  <c r="BB22" i="35"/>
  <c r="AP22" i="35"/>
  <c r="AD22" i="35"/>
  <c r="R22" i="35"/>
  <c r="AY21" i="35"/>
  <c r="AM21" i="35"/>
  <c r="AA21" i="35"/>
  <c r="O21" i="35"/>
  <c r="AV20" i="35"/>
  <c r="AJ20" i="35"/>
  <c r="X20" i="35"/>
  <c r="BE19" i="35"/>
  <c r="AS19" i="35"/>
  <c r="AG19" i="35"/>
  <c r="U19" i="35"/>
  <c r="AG25" i="35"/>
  <c r="AF25" i="35"/>
  <c r="AI22" i="35"/>
  <c r="AX19" i="35"/>
  <c r="BA26" i="35"/>
  <c r="AO26" i="35"/>
  <c r="AC26" i="35"/>
  <c r="Q26" i="35"/>
  <c r="AX25" i="35"/>
  <c r="AL25" i="35"/>
  <c r="Z25" i="35"/>
  <c r="N25" i="35"/>
  <c r="AU24" i="35"/>
  <c r="AI24" i="35"/>
  <c r="W24" i="35"/>
  <c r="BD23" i="35"/>
  <c r="AR23" i="35"/>
  <c r="AF23" i="35"/>
  <c r="T23" i="35"/>
  <c r="BA22" i="35"/>
  <c r="AO22" i="35"/>
  <c r="AC22" i="35"/>
  <c r="Q22" i="35"/>
  <c r="AX21" i="35"/>
  <c r="AL21" i="35"/>
  <c r="Z21" i="35"/>
  <c r="N21" i="35"/>
  <c r="AU20" i="35"/>
  <c r="AI20" i="35"/>
  <c r="W20" i="35"/>
  <c r="BD19" i="35"/>
  <c r="AR19" i="35"/>
  <c r="AF19" i="35"/>
  <c r="T19" i="35"/>
  <c r="BE25" i="35"/>
  <c r="R24" i="35"/>
  <c r="O23" i="35"/>
  <c r="BE21" i="35"/>
  <c r="BB20" i="35"/>
  <c r="AA19" i="35"/>
  <c r="W26" i="35"/>
  <c r="Q24" i="35"/>
  <c r="AF21" i="35"/>
  <c r="AZ26" i="35"/>
  <c r="AN26" i="35"/>
  <c r="AB26" i="35"/>
  <c r="P26" i="35"/>
  <c r="AW25" i="35"/>
  <c r="AK25" i="35"/>
  <c r="Y25" i="35"/>
  <c r="BF24" i="35"/>
  <c r="AT24" i="35"/>
  <c r="AH24" i="35"/>
  <c r="V24" i="35"/>
  <c r="BC23" i="35"/>
  <c r="AQ23" i="35"/>
  <c r="AE23" i="35"/>
  <c r="S23" i="35"/>
  <c r="AZ22" i="35"/>
  <c r="AN22" i="35"/>
  <c r="AB22" i="35"/>
  <c r="P22" i="35"/>
  <c r="AW21" i="35"/>
  <c r="AK21" i="35"/>
  <c r="Y21" i="35"/>
  <c r="BF20" i="35"/>
  <c r="AT20" i="35"/>
  <c r="AH20" i="35"/>
  <c r="V20" i="35"/>
  <c r="BC19" i="35"/>
  <c r="AQ19" i="35"/>
  <c r="AE19" i="35"/>
  <c r="S19" i="35"/>
  <c r="BB24" i="35"/>
  <c r="AA23" i="35"/>
  <c r="AS21" i="35"/>
  <c r="AY19" i="35"/>
  <c r="T25" i="35"/>
  <c r="AL23" i="35"/>
  <c r="AR21" i="35"/>
  <c r="AO20" i="35"/>
  <c r="AL19" i="35"/>
  <c r="AY26" i="35"/>
  <c r="AM26" i="35"/>
  <c r="AA26" i="35"/>
  <c r="O26" i="35"/>
  <c r="AV25" i="35"/>
  <c r="AJ25" i="35"/>
  <c r="X25" i="35"/>
  <c r="BE24" i="35"/>
  <c r="AS24" i="35"/>
  <c r="AG24" i="35"/>
  <c r="U24" i="35"/>
  <c r="BB23" i="35"/>
  <c r="AP23" i="35"/>
  <c r="AD23" i="35"/>
  <c r="R23" i="35"/>
  <c r="AY22" i="35"/>
  <c r="AM22" i="35"/>
  <c r="AA22" i="35"/>
  <c r="O22" i="35"/>
  <c r="AV21" i="35"/>
  <c r="AJ21" i="35"/>
  <c r="X21" i="35"/>
  <c r="BE20" i="35"/>
  <c r="AS20" i="35"/>
  <c r="AG20" i="35"/>
  <c r="U20" i="35"/>
  <c r="BB19" i="35"/>
  <c r="AP19" i="35"/>
  <c r="AD19" i="35"/>
  <c r="R19" i="35"/>
  <c r="AP24" i="35"/>
  <c r="AY23" i="35"/>
  <c r="AV22" i="35"/>
  <c r="AG21" i="35"/>
  <c r="AM19" i="35"/>
  <c r="AI26" i="35"/>
  <c r="AU22" i="35"/>
  <c r="AX26" i="35"/>
  <c r="D7" i="48" s="1"/>
  <c r="AL26" i="35"/>
  <c r="Z26" i="35"/>
  <c r="N26" i="35"/>
  <c r="AU25" i="35"/>
  <c r="AI25" i="35"/>
  <c r="W25" i="35"/>
  <c r="BD24" i="35"/>
  <c r="AR24" i="35"/>
  <c r="AF24" i="35"/>
  <c r="T24" i="35"/>
  <c r="BA23" i="35"/>
  <c r="AO23" i="35"/>
  <c r="AC23" i="35"/>
  <c r="Q23" i="35"/>
  <c r="AX22" i="35"/>
  <c r="AL22" i="35"/>
  <c r="Z22" i="35"/>
  <c r="N22" i="35"/>
  <c r="AU21" i="35"/>
  <c r="AI21" i="35"/>
  <c r="W21" i="35"/>
  <c r="BD20" i="35"/>
  <c r="AR20" i="35"/>
  <c r="AF20" i="35"/>
  <c r="T20" i="35"/>
  <c r="BA19" i="35"/>
  <c r="AO19" i="35"/>
  <c r="AC19" i="35"/>
  <c r="Q19" i="35"/>
  <c r="AD24" i="35"/>
  <c r="U21" i="35"/>
  <c r="BA24" i="35"/>
  <c r="T21" i="35"/>
  <c r="AW26" i="35"/>
  <c r="AK26" i="35"/>
  <c r="Y26" i="35"/>
  <c r="BF25" i="35"/>
  <c r="AT25" i="35"/>
  <c r="AH25" i="35"/>
  <c r="V25" i="35"/>
  <c r="BC24" i="35"/>
  <c r="AQ24" i="35"/>
  <c r="AE24" i="35"/>
  <c r="AZ23" i="35"/>
  <c r="AN23" i="35"/>
  <c r="AB23" i="35"/>
  <c r="P23" i="35"/>
  <c r="AW22" i="35"/>
  <c r="AK22" i="35"/>
  <c r="Y22" i="35"/>
  <c r="BF21" i="35"/>
  <c r="AT21" i="35"/>
  <c r="AH21" i="35"/>
  <c r="V21" i="35"/>
  <c r="BC20" i="35"/>
  <c r="AQ20" i="35"/>
  <c r="AE20" i="35"/>
  <c r="S20" i="35"/>
  <c r="AZ19" i="35"/>
  <c r="AN19" i="35"/>
  <c r="AB19" i="35"/>
  <c r="P19" i="35"/>
  <c r="U25" i="35"/>
  <c r="AM23" i="35"/>
  <c r="X22" i="35"/>
  <c r="AP20" i="35"/>
  <c r="O19" i="35"/>
  <c r="AR25" i="35"/>
  <c r="N23" i="35"/>
  <c r="Q20" i="35"/>
  <c r="M65" i="35"/>
  <c r="K13" i="37" s="1"/>
  <c r="AI63" i="35"/>
  <c r="AA63" i="35"/>
  <c r="AR63" i="35"/>
  <c r="O63" i="35"/>
  <c r="AC63" i="35"/>
  <c r="AZ63" i="35"/>
  <c r="AD63" i="35"/>
  <c r="AH63" i="35"/>
  <c r="AY63" i="35"/>
  <c r="AB63" i="35"/>
  <c r="AF63" i="35"/>
  <c r="AS63" i="35"/>
  <c r="N46" i="35"/>
  <c r="N63" i="35"/>
  <c r="M64" i="35"/>
  <c r="AP63" i="35"/>
  <c r="AX63" i="35"/>
  <c r="M70" i="35"/>
  <c r="AA13" i="37" s="1"/>
  <c r="T63" i="35"/>
  <c r="BA63" i="35"/>
  <c r="AG63" i="35"/>
  <c r="M66" i="35"/>
  <c r="O13" i="37" s="1"/>
  <c r="AG15" i="56" s="1"/>
  <c r="AU15" i="56" s="1"/>
  <c r="AE63" i="35"/>
  <c r="Y63" i="35"/>
  <c r="M67" i="35"/>
  <c r="S13" i="37" s="1"/>
  <c r="AH15" i="56" s="1"/>
  <c r="AV15" i="56" s="1"/>
  <c r="R63" i="35"/>
  <c r="AQ63" i="35"/>
  <c r="AV63" i="35"/>
  <c r="N19" i="35"/>
  <c r="AO63" i="35"/>
  <c r="X63" i="35"/>
  <c r="AN63" i="35"/>
  <c r="AK63" i="35"/>
  <c r="M69" i="35"/>
  <c r="AM63" i="35"/>
  <c r="M68" i="35"/>
  <c r="W13" i="37" s="1"/>
  <c r="AI15" i="56" s="1"/>
  <c r="AW15" i="56" s="1"/>
  <c r="AT63" i="35"/>
  <c r="N37" i="35"/>
  <c r="Q63" i="35"/>
  <c r="P63" i="35"/>
  <c r="AJ63" i="35"/>
  <c r="AL63" i="35"/>
  <c r="S63" i="35"/>
  <c r="U63" i="35"/>
  <c r="Z63" i="35"/>
  <c r="V63" i="35"/>
  <c r="L9" i="35"/>
  <c r="I5" i="33"/>
  <c r="D5" i="49" s="1"/>
  <c r="G5" i="33"/>
  <c r="C5" i="49" s="1"/>
  <c r="W63" i="35"/>
  <c r="AW63" i="35"/>
  <c r="AU63" i="35"/>
  <c r="N28" i="35"/>
  <c r="BC72" i="35"/>
  <c r="BF72" i="35"/>
  <c r="N73" i="35"/>
  <c r="AK72" i="35"/>
  <c r="U54" i="35"/>
  <c r="BA54" i="35"/>
  <c r="Q54" i="35"/>
  <c r="Y54" i="35"/>
  <c r="AH54" i="35"/>
  <c r="AO54" i="35"/>
  <c r="S54" i="35"/>
  <c r="O54" i="35"/>
  <c r="AA10" i="28"/>
  <c r="BH10" i="41"/>
  <c r="L10" i="53" s="1"/>
  <c r="AA12" i="28"/>
  <c r="BH12" i="41"/>
  <c r="L12" i="53" s="1"/>
  <c r="AA13" i="28"/>
  <c r="BH13" i="41"/>
  <c r="L13" i="53" s="1"/>
  <c r="AA9" i="28"/>
  <c r="BH9" i="41"/>
  <c r="L9" i="53" s="1"/>
  <c r="AA11" i="28"/>
  <c r="BH11" i="41"/>
  <c r="L11" i="53" s="1"/>
  <c r="AA15" i="28"/>
  <c r="BH15" i="41"/>
  <c r="L15" i="53" s="1"/>
  <c r="N10" i="35"/>
  <c r="BB7" i="41"/>
  <c r="Z8" i="28"/>
  <c r="J7" i="28"/>
  <c r="AN41" i="14"/>
  <c r="AM7" i="14"/>
  <c r="AN42" i="14"/>
  <c r="AN40" i="14"/>
  <c r="AS54" i="35" l="1"/>
  <c r="AB54" i="35"/>
  <c r="AU54" i="35"/>
  <c r="AD54" i="35"/>
  <c r="AM54" i="35"/>
  <c r="BE72" i="35"/>
  <c r="AN7" i="14"/>
  <c r="E13" i="48"/>
  <c r="I13" i="48"/>
  <c r="T11" i="48"/>
  <c r="AO14" i="56" s="1"/>
  <c r="BC14" i="56" s="1"/>
  <c r="E11" i="48"/>
  <c r="T9" i="48"/>
  <c r="AO12" i="56" s="1"/>
  <c r="BC12" i="56" s="1"/>
  <c r="E9" i="48"/>
  <c r="T7" i="48"/>
  <c r="AO10" i="56" s="1"/>
  <c r="BC10" i="56" s="1"/>
  <c r="E7" i="48"/>
  <c r="T8" i="48"/>
  <c r="AO11" i="56" s="1"/>
  <c r="BC11" i="56" s="1"/>
  <c r="E8" i="48"/>
  <c r="T10" i="48"/>
  <c r="AO13" i="56" s="1"/>
  <c r="BC13" i="56" s="1"/>
  <c r="E10" i="48"/>
  <c r="AG13" i="41"/>
  <c r="AR13" i="41" s="1"/>
  <c r="AG14" i="56"/>
  <c r="AU14" i="56" s="1"/>
  <c r="E6" i="49"/>
  <c r="E8" i="49"/>
  <c r="AN5" i="49"/>
  <c r="AN4" i="49" s="1"/>
  <c r="AB5" i="49"/>
  <c r="AB4" i="49" s="1"/>
  <c r="P5" i="49"/>
  <c r="P4" i="49" s="1"/>
  <c r="N5" i="49"/>
  <c r="N4" i="49" s="1"/>
  <c r="Q5" i="49"/>
  <c r="Q4" i="49" s="1"/>
  <c r="AM5" i="49"/>
  <c r="AM4" i="49" s="1"/>
  <c r="AA5" i="49"/>
  <c r="AA4" i="49" s="1"/>
  <c r="O5" i="49"/>
  <c r="O4" i="49" s="1"/>
  <c r="AL5" i="49"/>
  <c r="AL4" i="49" s="1"/>
  <c r="AE5" i="49"/>
  <c r="AE4" i="49" s="1"/>
  <c r="AQ5" i="49"/>
  <c r="AQ4" i="49" s="1"/>
  <c r="Z5" i="49"/>
  <c r="Z4" i="49" s="1"/>
  <c r="X5" i="49"/>
  <c r="X4" i="49" s="1"/>
  <c r="U5" i="49"/>
  <c r="U4" i="49" s="1"/>
  <c r="AR5" i="49"/>
  <c r="AR4" i="49" s="1"/>
  <c r="AK5" i="49"/>
  <c r="AK4" i="49" s="1"/>
  <c r="Y5" i="49"/>
  <c r="Y4" i="49" s="1"/>
  <c r="M5" i="49"/>
  <c r="M4" i="49" s="1"/>
  <c r="L5" i="49"/>
  <c r="L4" i="49" s="1"/>
  <c r="S5" i="49"/>
  <c r="J5" i="49"/>
  <c r="J4" i="49" s="1"/>
  <c r="AS5" i="49"/>
  <c r="AS4" i="49" s="1"/>
  <c r="AJ5" i="49"/>
  <c r="AJ4" i="49" s="1"/>
  <c r="R5" i="49"/>
  <c r="R4" i="49" s="1"/>
  <c r="AC5" i="49"/>
  <c r="AC4" i="49" s="1"/>
  <c r="AT5" i="49"/>
  <c r="AT4" i="49" s="1"/>
  <c r="AI5" i="49"/>
  <c r="AI4" i="49" s="1"/>
  <c r="W5" i="49"/>
  <c r="W4" i="49" s="1"/>
  <c r="K5" i="49"/>
  <c r="K4" i="49" s="1"/>
  <c r="AU5" i="49"/>
  <c r="AU4" i="49" s="1"/>
  <c r="AH5" i="49"/>
  <c r="AH4" i="49" s="1"/>
  <c r="V5" i="49"/>
  <c r="V4" i="49" s="1"/>
  <c r="AV5" i="49"/>
  <c r="AV4" i="49" s="1"/>
  <c r="AG5" i="49"/>
  <c r="AG4" i="49" s="1"/>
  <c r="AW5" i="49"/>
  <c r="AW4" i="49" s="1"/>
  <c r="AF5" i="49"/>
  <c r="AF4" i="49" s="1"/>
  <c r="T5" i="49"/>
  <c r="T4" i="49" s="1"/>
  <c r="AD5" i="49"/>
  <c r="AD4" i="49" s="1"/>
  <c r="AO5" i="49"/>
  <c r="AO4" i="49" s="1"/>
  <c r="AX5" i="49"/>
  <c r="AX4" i="49" s="1"/>
  <c r="BD36" i="35"/>
  <c r="AQ54" i="35"/>
  <c r="AW54" i="35"/>
  <c r="P54" i="35"/>
  <c r="W54" i="35"/>
  <c r="AF54" i="35"/>
  <c r="AR54" i="35"/>
  <c r="H5" i="49"/>
  <c r="H4" i="49" s="1"/>
  <c r="G5" i="49"/>
  <c r="G4" i="49" s="1"/>
  <c r="I5" i="49"/>
  <c r="I4" i="49" s="1"/>
  <c r="E9" i="49"/>
  <c r="E12" i="49"/>
  <c r="E7" i="49"/>
  <c r="X15" i="39"/>
  <c r="AF15" i="56"/>
  <c r="AT15" i="56" s="1"/>
  <c r="M80" i="35"/>
  <c r="AP4" i="49"/>
  <c r="E10" i="49"/>
  <c r="K7" i="53"/>
  <c r="AN54" i="35"/>
  <c r="BB72" i="35"/>
  <c r="BD72" i="35"/>
  <c r="M55" i="35"/>
  <c r="G12" i="37" s="1"/>
  <c r="AE14" i="56" s="1"/>
  <c r="AS14" i="56" s="1"/>
  <c r="AA54" i="35"/>
  <c r="AJ54" i="35"/>
  <c r="AT54" i="35"/>
  <c r="T54" i="35"/>
  <c r="AL54" i="35"/>
  <c r="AV54" i="35"/>
  <c r="V54" i="35"/>
  <c r="AE54" i="35"/>
  <c r="AX54" i="35"/>
  <c r="M60" i="35"/>
  <c r="AG54" i="35"/>
  <c r="AP54" i="35"/>
  <c r="AZ54" i="35"/>
  <c r="M59" i="35"/>
  <c r="W12" i="37" s="1"/>
  <c r="AD14" i="39" s="1"/>
  <c r="M56" i="35"/>
  <c r="K12" i="37" s="1"/>
  <c r="L12" i="37" s="1"/>
  <c r="M12" i="37" s="1"/>
  <c r="H14" i="56" s="1"/>
  <c r="BB27" i="35"/>
  <c r="BE36" i="35"/>
  <c r="BB45" i="35"/>
  <c r="BD45" i="35"/>
  <c r="BF45" i="35"/>
  <c r="M58" i="35"/>
  <c r="S12" i="37" s="1"/>
  <c r="M62" i="35"/>
  <c r="BB54" i="35"/>
  <c r="BD54" i="35"/>
  <c r="BF54" i="35"/>
  <c r="N54" i="35"/>
  <c r="BC36" i="35"/>
  <c r="R54" i="35"/>
  <c r="BC18" i="35"/>
  <c r="BB36" i="35"/>
  <c r="BC45" i="35"/>
  <c r="BE45" i="35"/>
  <c r="BF27" i="35"/>
  <c r="M53" i="35"/>
  <c r="BE27" i="35"/>
  <c r="M35" i="35"/>
  <c r="BD27" i="35"/>
  <c r="BF36" i="35"/>
  <c r="BC27" i="35"/>
  <c r="M44" i="35"/>
  <c r="BC54" i="35"/>
  <c r="BE54" i="35"/>
  <c r="BE17" i="35"/>
  <c r="AS17" i="35"/>
  <c r="AG17" i="35"/>
  <c r="U17" i="35"/>
  <c r="BB16" i="35"/>
  <c r="AP16" i="35"/>
  <c r="AD16" i="35"/>
  <c r="R16" i="35"/>
  <c r="AY15" i="35"/>
  <c r="AM15" i="35"/>
  <c r="AA15" i="35"/>
  <c r="O15" i="35"/>
  <c r="AV14" i="35"/>
  <c r="AJ14" i="35"/>
  <c r="X14" i="35"/>
  <c r="BE13" i="35"/>
  <c r="AS13" i="35"/>
  <c r="AG13" i="35"/>
  <c r="U13" i="35"/>
  <c r="BB12" i="35"/>
  <c r="AP12" i="35"/>
  <c r="AD12" i="35"/>
  <c r="R12" i="35"/>
  <c r="AY11" i="35"/>
  <c r="AM11" i="35"/>
  <c r="AA11" i="35"/>
  <c r="O11" i="35"/>
  <c r="AV10" i="35"/>
  <c r="AJ10" i="35"/>
  <c r="X10" i="35"/>
  <c r="AI13" i="35"/>
  <c r="AE16" i="35"/>
  <c r="P15" i="35"/>
  <c r="AT13" i="35"/>
  <c r="AE12" i="35"/>
  <c r="P11" i="35"/>
  <c r="BD17" i="35"/>
  <c r="AR17" i="35"/>
  <c r="AF17" i="35"/>
  <c r="T17" i="35"/>
  <c r="BA16" i="35"/>
  <c r="AO16" i="35"/>
  <c r="AC16" i="35"/>
  <c r="Q16" i="35"/>
  <c r="AX15" i="35"/>
  <c r="AL15" i="35"/>
  <c r="Z15" i="35"/>
  <c r="N15" i="35"/>
  <c r="AU14" i="35"/>
  <c r="AI14" i="35"/>
  <c r="W14" i="35"/>
  <c r="BD13" i="35"/>
  <c r="AR13" i="35"/>
  <c r="AF13" i="35"/>
  <c r="T13" i="35"/>
  <c r="BA12" i="35"/>
  <c r="AO12" i="35"/>
  <c r="AC12" i="35"/>
  <c r="Q12" i="35"/>
  <c r="AX11" i="35"/>
  <c r="AL11" i="35"/>
  <c r="Z11" i="35"/>
  <c r="N11" i="35"/>
  <c r="AU10" i="35"/>
  <c r="AI10" i="35"/>
  <c r="W10" i="35"/>
  <c r="AC15" i="35"/>
  <c r="BA11" i="35"/>
  <c r="AQ16" i="35"/>
  <c r="AH13" i="35"/>
  <c r="BC17" i="35"/>
  <c r="AQ17" i="35"/>
  <c r="AE17" i="35"/>
  <c r="S17" i="35"/>
  <c r="AZ16" i="35"/>
  <c r="AN16" i="35"/>
  <c r="AB16" i="35"/>
  <c r="P16" i="35"/>
  <c r="AW15" i="35"/>
  <c r="AK15" i="35"/>
  <c r="Y15" i="35"/>
  <c r="BF14" i="35"/>
  <c r="AT14" i="35"/>
  <c r="AH14" i="35"/>
  <c r="V14" i="35"/>
  <c r="BC13" i="35"/>
  <c r="AQ13" i="35"/>
  <c r="AE13" i="35"/>
  <c r="S13" i="35"/>
  <c r="AZ12" i="35"/>
  <c r="AN12" i="35"/>
  <c r="AB12" i="35"/>
  <c r="P12" i="35"/>
  <c r="AW11" i="35"/>
  <c r="AK11" i="35"/>
  <c r="Y11" i="35"/>
  <c r="BF10" i="35"/>
  <c r="AT10" i="35"/>
  <c r="AH10" i="35"/>
  <c r="V10" i="35"/>
  <c r="T16" i="35"/>
  <c r="N14" i="35"/>
  <c r="T12" i="35"/>
  <c r="V17" i="35"/>
  <c r="Y14" i="35"/>
  <c r="BB17" i="35"/>
  <c r="AP17" i="35"/>
  <c r="AD17" i="35"/>
  <c r="R17" i="35"/>
  <c r="N6" i="48" s="1"/>
  <c r="AY16" i="35"/>
  <c r="AM16" i="35"/>
  <c r="AA16" i="35"/>
  <c r="O16" i="35"/>
  <c r="AV15" i="35"/>
  <c r="AJ15" i="35"/>
  <c r="X15" i="35"/>
  <c r="BE14" i="35"/>
  <c r="AS14" i="35"/>
  <c r="AG14" i="35"/>
  <c r="U14" i="35"/>
  <c r="BB13" i="35"/>
  <c r="AP13" i="35"/>
  <c r="AD13" i="35"/>
  <c r="R13" i="35"/>
  <c r="AY12" i="35"/>
  <c r="AM12" i="35"/>
  <c r="AA12" i="35"/>
  <c r="O12" i="35"/>
  <c r="AV11" i="35"/>
  <c r="AJ11" i="35"/>
  <c r="X11" i="35"/>
  <c r="BE10" i="35"/>
  <c r="AS10" i="35"/>
  <c r="AG10" i="35"/>
  <c r="U10" i="35"/>
  <c r="AI17" i="35"/>
  <c r="Q11" i="35"/>
  <c r="AT17" i="35"/>
  <c r="S12" i="35"/>
  <c r="BA17" i="35"/>
  <c r="AO17" i="35"/>
  <c r="AC17" i="35"/>
  <c r="Q17" i="35"/>
  <c r="AX16" i="35"/>
  <c r="AL16" i="35"/>
  <c r="Z16" i="35"/>
  <c r="N16" i="35"/>
  <c r="AU15" i="35"/>
  <c r="AI15" i="35"/>
  <c r="W15" i="35"/>
  <c r="BD14" i="35"/>
  <c r="AR14" i="35"/>
  <c r="AF14" i="35"/>
  <c r="T14" i="35"/>
  <c r="BA13" i="35"/>
  <c r="AO13" i="35"/>
  <c r="AC13" i="35"/>
  <c r="Q13" i="35"/>
  <c r="AX12" i="35"/>
  <c r="AL12" i="35"/>
  <c r="Z12" i="35"/>
  <c r="N12" i="35"/>
  <c r="AU11" i="35"/>
  <c r="AI11" i="35"/>
  <c r="W11" i="35"/>
  <c r="W9" i="35" s="1"/>
  <c r="BD10" i="35"/>
  <c r="AR10" i="35"/>
  <c r="AF10" i="35"/>
  <c r="T10" i="35"/>
  <c r="BA15" i="35"/>
  <c r="AZ15" i="35"/>
  <c r="BC12" i="35"/>
  <c r="Y10" i="35"/>
  <c r="AZ17" i="35"/>
  <c r="AN17" i="35"/>
  <c r="AB17" i="35"/>
  <c r="P17" i="35"/>
  <c r="AW16" i="35"/>
  <c r="AK16" i="35"/>
  <c r="Y16" i="35"/>
  <c r="BF15" i="35"/>
  <c r="AT15" i="35"/>
  <c r="AH15" i="35"/>
  <c r="V15" i="35"/>
  <c r="BC14" i="35"/>
  <c r="AQ14" i="35"/>
  <c r="AE14" i="35"/>
  <c r="S14" i="35"/>
  <c r="AZ13" i="35"/>
  <c r="AN13" i="35"/>
  <c r="AB13" i="35"/>
  <c r="P13" i="35"/>
  <c r="AW12" i="35"/>
  <c r="AK12" i="35"/>
  <c r="Y12" i="35"/>
  <c r="BF11" i="35"/>
  <c r="AT11" i="35"/>
  <c r="AH11" i="35"/>
  <c r="V11" i="35"/>
  <c r="BC10" i="35"/>
  <c r="AQ10" i="35"/>
  <c r="AE10" i="35"/>
  <c r="S10" i="35"/>
  <c r="AF16" i="35"/>
  <c r="Z14" i="35"/>
  <c r="AF12" i="35"/>
  <c r="AL10" i="35"/>
  <c r="AH17" i="35"/>
  <c r="AW14" i="35"/>
  <c r="AW10" i="35"/>
  <c r="AY17" i="35"/>
  <c r="AM17" i="35"/>
  <c r="AA17" i="35"/>
  <c r="O17" i="35"/>
  <c r="AV16" i="35"/>
  <c r="AJ16" i="35"/>
  <c r="X16" i="35"/>
  <c r="BE15" i="35"/>
  <c r="AS15" i="35"/>
  <c r="AG15" i="35"/>
  <c r="U15" i="35"/>
  <c r="BB14" i="35"/>
  <c r="AP14" i="35"/>
  <c r="AD14" i="35"/>
  <c r="R14" i="35"/>
  <c r="AY13" i="35"/>
  <c r="AM13" i="35"/>
  <c r="AA13" i="35"/>
  <c r="O13" i="35"/>
  <c r="AV12" i="35"/>
  <c r="AJ12" i="35"/>
  <c r="X12" i="35"/>
  <c r="BE11" i="35"/>
  <c r="AS11" i="35"/>
  <c r="AG11" i="35"/>
  <c r="U11" i="35"/>
  <c r="BB10" i="35"/>
  <c r="AP10" i="35"/>
  <c r="AD10" i="35"/>
  <c r="R10" i="35"/>
  <c r="AR16" i="35"/>
  <c r="AU13" i="35"/>
  <c r="AX10" i="35"/>
  <c r="BC16" i="35"/>
  <c r="AB15" i="35"/>
  <c r="BF13" i="35"/>
  <c r="AQ12" i="35"/>
  <c r="AB11" i="35"/>
  <c r="AX17" i="35"/>
  <c r="D6" i="48" s="1"/>
  <c r="AL17" i="35"/>
  <c r="Z17" i="35"/>
  <c r="N17" i="35"/>
  <c r="AU16" i="35"/>
  <c r="AI16" i="35"/>
  <c r="W16" i="35"/>
  <c r="BD15" i="35"/>
  <c r="AR15" i="35"/>
  <c r="AF15" i="35"/>
  <c r="T15" i="35"/>
  <c r="BA14" i="35"/>
  <c r="AO14" i="35"/>
  <c r="AC14" i="35"/>
  <c r="Q14" i="35"/>
  <c r="AX13" i="35"/>
  <c r="AL13" i="35"/>
  <c r="Z13" i="35"/>
  <c r="N13" i="35"/>
  <c r="AU12" i="35"/>
  <c r="AI12" i="35"/>
  <c r="W12" i="35"/>
  <c r="BD11" i="35"/>
  <c r="AR11" i="35"/>
  <c r="AF11" i="35"/>
  <c r="AF9" i="35" s="1"/>
  <c r="T11" i="35"/>
  <c r="BA10" i="35"/>
  <c r="AO10" i="35"/>
  <c r="AC10" i="35"/>
  <c r="Q10" i="35"/>
  <c r="BD16" i="35"/>
  <c r="Q15" i="35"/>
  <c r="W13" i="35"/>
  <c r="AC11" i="35"/>
  <c r="BF17" i="35"/>
  <c r="AK14" i="35"/>
  <c r="AN11" i="35"/>
  <c r="AW17" i="35"/>
  <c r="AK17" i="35"/>
  <c r="Y17" i="35"/>
  <c r="BF16" i="35"/>
  <c r="AT16" i="35"/>
  <c r="AH16" i="35"/>
  <c r="V16" i="35"/>
  <c r="BC15" i="35"/>
  <c r="AQ15" i="35"/>
  <c r="AE15" i="35"/>
  <c r="S15" i="35"/>
  <c r="AZ14" i="35"/>
  <c r="AN14" i="35"/>
  <c r="AB14" i="35"/>
  <c r="P14" i="35"/>
  <c r="AW13" i="35"/>
  <c r="AK13" i="35"/>
  <c r="Y13" i="35"/>
  <c r="BF12" i="35"/>
  <c r="AT12" i="35"/>
  <c r="AH12" i="35"/>
  <c r="V12" i="35"/>
  <c r="BC11" i="35"/>
  <c r="AQ11" i="35"/>
  <c r="AE11" i="35"/>
  <c r="S11" i="35"/>
  <c r="AZ10" i="35"/>
  <c r="AN10" i="35"/>
  <c r="AB10" i="35"/>
  <c r="P10" i="35"/>
  <c r="AU17" i="35"/>
  <c r="AX14" i="35"/>
  <c r="AR12" i="35"/>
  <c r="Z10" i="35"/>
  <c r="AN15" i="35"/>
  <c r="AZ11" i="35"/>
  <c r="AZ9" i="35" s="1"/>
  <c r="AV17" i="35"/>
  <c r="AJ17" i="35"/>
  <c r="X17" i="35"/>
  <c r="BE16" i="35"/>
  <c r="AS16" i="35"/>
  <c r="AG16" i="35"/>
  <c r="U16" i="35"/>
  <c r="BB15" i="35"/>
  <c r="AP15" i="35"/>
  <c r="AD15" i="35"/>
  <c r="R15" i="35"/>
  <c r="AY14" i="35"/>
  <c r="AM14" i="35"/>
  <c r="AA14" i="35"/>
  <c r="O14" i="35"/>
  <c r="AV13" i="35"/>
  <c r="AJ13" i="35"/>
  <c r="X13" i="35"/>
  <c r="BE12" i="35"/>
  <c r="AS12" i="35"/>
  <c r="AG12" i="35"/>
  <c r="U12" i="35"/>
  <c r="BB11" i="35"/>
  <c r="AP11" i="35"/>
  <c r="AD11" i="35"/>
  <c r="R11" i="35"/>
  <c r="AY10" i="35"/>
  <c r="AM10" i="35"/>
  <c r="AA10" i="35"/>
  <c r="O10" i="35"/>
  <c r="W17" i="35"/>
  <c r="AO15" i="35"/>
  <c r="AL14" i="35"/>
  <c r="BD12" i="35"/>
  <c r="AO11" i="35"/>
  <c r="S16" i="35"/>
  <c r="V13" i="35"/>
  <c r="AK10" i="35"/>
  <c r="BE18" i="35"/>
  <c r="BD18" i="35"/>
  <c r="M26" i="35"/>
  <c r="BB18" i="35"/>
  <c r="BF18" i="35"/>
  <c r="AA72" i="35"/>
  <c r="AC72" i="35"/>
  <c r="Z14" i="39"/>
  <c r="AL72" i="35"/>
  <c r="T72" i="35"/>
  <c r="M78" i="35"/>
  <c r="AL36" i="35"/>
  <c r="Z72" i="35"/>
  <c r="AT36" i="35"/>
  <c r="S72" i="35"/>
  <c r="O72" i="35"/>
  <c r="Q72" i="35"/>
  <c r="AY36" i="35"/>
  <c r="U18" i="35"/>
  <c r="W18" i="35"/>
  <c r="AU45" i="35"/>
  <c r="AI72" i="35"/>
  <c r="M77" i="35"/>
  <c r="W14" i="37" s="1"/>
  <c r="AQ72" i="35"/>
  <c r="AQ36" i="35"/>
  <c r="AI36" i="35"/>
  <c r="AA18" i="35"/>
  <c r="AB72" i="35"/>
  <c r="X72" i="35"/>
  <c r="AJ72" i="35"/>
  <c r="AF72" i="35"/>
  <c r="AP72" i="35"/>
  <c r="AG72" i="35"/>
  <c r="AT72" i="35"/>
  <c r="X27" i="35"/>
  <c r="M79" i="35"/>
  <c r="AA14" i="37" s="1"/>
  <c r="AB14" i="37" s="1"/>
  <c r="AC14" i="37" s="1"/>
  <c r="AG14" i="37" s="1"/>
  <c r="C13" i="58" s="1"/>
  <c r="AO72" i="35"/>
  <c r="AM72" i="35"/>
  <c r="BA36" i="35"/>
  <c r="R36" i="35"/>
  <c r="AV18" i="35"/>
  <c r="AU72" i="35"/>
  <c r="N72" i="35"/>
  <c r="Y72" i="35"/>
  <c r="AN72" i="35"/>
  <c r="M76" i="35"/>
  <c r="S14" i="37" s="1"/>
  <c r="R27" i="35"/>
  <c r="M75" i="35"/>
  <c r="O14" i="37" s="1"/>
  <c r="AV45" i="35"/>
  <c r="AE45" i="35"/>
  <c r="AH72" i="35"/>
  <c r="R72" i="35"/>
  <c r="AS72" i="35"/>
  <c r="P72" i="35"/>
  <c r="V72" i="35"/>
  <c r="U72" i="35"/>
  <c r="Y45" i="35"/>
  <c r="AM45" i="35"/>
  <c r="P12" i="37"/>
  <c r="Q12" i="37" s="1"/>
  <c r="I14" i="56" s="1"/>
  <c r="AZ72" i="35"/>
  <c r="BA72" i="35"/>
  <c r="AX27" i="35"/>
  <c r="AZ45" i="35"/>
  <c r="L13" i="37"/>
  <c r="M13" i="37" s="1"/>
  <c r="H15" i="56" s="1"/>
  <c r="AF14" i="41"/>
  <c r="AQ14" i="41" s="1"/>
  <c r="S27" i="35"/>
  <c r="AH36" i="35"/>
  <c r="AE36" i="35"/>
  <c r="Q18" i="35"/>
  <c r="M22" i="35"/>
  <c r="S8" i="37" s="1"/>
  <c r="AH10" i="56" s="1"/>
  <c r="AV10" i="56" s="1"/>
  <c r="AS45" i="35"/>
  <c r="AI45" i="35"/>
  <c r="AK45" i="35"/>
  <c r="M52" i="35"/>
  <c r="AA11" i="37" s="1"/>
  <c r="AY45" i="35"/>
  <c r="AW72" i="35"/>
  <c r="AA27" i="35"/>
  <c r="AV27" i="35"/>
  <c r="AM27" i="35"/>
  <c r="M33" i="35"/>
  <c r="AV36" i="35"/>
  <c r="AR36" i="35"/>
  <c r="Q36" i="35"/>
  <c r="O36" i="35"/>
  <c r="AQ18" i="35"/>
  <c r="M23" i="35"/>
  <c r="W8" i="37" s="1"/>
  <c r="AI10" i="56" s="1"/>
  <c r="AW10" i="56" s="1"/>
  <c r="AS18" i="35"/>
  <c r="AT45" i="35"/>
  <c r="AW45" i="35"/>
  <c r="M48" i="35"/>
  <c r="O11" i="37" s="1"/>
  <c r="AG13" i="56" s="1"/>
  <c r="AU13" i="56" s="1"/>
  <c r="M74" i="35"/>
  <c r="K14" i="37" s="1"/>
  <c r="AF16" i="56" s="1"/>
  <c r="AT16" i="56" s="1"/>
  <c r="AS27" i="35"/>
  <c r="M30" i="35"/>
  <c r="O9" i="37" s="1"/>
  <c r="AG11" i="56" s="1"/>
  <c r="AU11" i="56" s="1"/>
  <c r="U27" i="35"/>
  <c r="AF27" i="35"/>
  <c r="AU27" i="35"/>
  <c r="AA36" i="35"/>
  <c r="S36" i="35"/>
  <c r="AX18" i="35"/>
  <c r="AF18" i="35"/>
  <c r="X18" i="35"/>
  <c r="AJ14" i="41"/>
  <c r="AU14" i="41" s="1"/>
  <c r="AF15" i="39"/>
  <c r="AB13" i="37"/>
  <c r="AC13" i="37" s="1"/>
  <c r="AG13" i="37" s="1"/>
  <c r="C12" i="58" s="1"/>
  <c r="AD45" i="35"/>
  <c r="M46" i="35"/>
  <c r="N45" i="35"/>
  <c r="Z45" i="35"/>
  <c r="V45" i="35"/>
  <c r="O27" i="35"/>
  <c r="BA27" i="35"/>
  <c r="AQ27" i="35"/>
  <c r="M31" i="35"/>
  <c r="S9" i="37" s="1"/>
  <c r="AH11" i="56" s="1"/>
  <c r="AV11" i="56" s="1"/>
  <c r="AG36" i="35"/>
  <c r="AB36" i="35"/>
  <c r="AW36" i="35"/>
  <c r="M41" i="35"/>
  <c r="W10" i="37" s="1"/>
  <c r="AI12" i="56" s="1"/>
  <c r="AW12" i="56" s="1"/>
  <c r="T36" i="35"/>
  <c r="W36" i="35"/>
  <c r="S18" i="35"/>
  <c r="AO18" i="35"/>
  <c r="AG18" i="35"/>
  <c r="AM18" i="35"/>
  <c r="AA45" i="35"/>
  <c r="AX45" i="35"/>
  <c r="AJ36" i="35"/>
  <c r="AY72" i="35"/>
  <c r="AD27" i="35"/>
  <c r="AW27" i="35"/>
  <c r="AJ27" i="35"/>
  <c r="M39" i="35"/>
  <c r="O10" i="37" s="1"/>
  <c r="AG12" i="56" s="1"/>
  <c r="AU12" i="56" s="1"/>
  <c r="AF36" i="35"/>
  <c r="P36" i="35"/>
  <c r="AI14" i="41"/>
  <c r="AT14" i="41" s="1"/>
  <c r="X13" i="37"/>
  <c r="Y13" i="37" s="1"/>
  <c r="K15" i="56" s="1"/>
  <c r="AD15" i="39"/>
  <c r="AD18" i="35"/>
  <c r="M20" i="35"/>
  <c r="K8" i="37" s="1"/>
  <c r="AF10" i="56" s="1"/>
  <c r="AT10" i="56" s="1"/>
  <c r="AI18" i="35"/>
  <c r="AB15" i="39"/>
  <c r="T13" i="37"/>
  <c r="U13" i="37" s="1"/>
  <c r="J15" i="56" s="1"/>
  <c r="AH14" i="41"/>
  <c r="AS14" i="41" s="1"/>
  <c r="AP27" i="35"/>
  <c r="AX36" i="35"/>
  <c r="M40" i="35"/>
  <c r="S10" i="37" s="1"/>
  <c r="AH12" i="56" s="1"/>
  <c r="AV12" i="56" s="1"/>
  <c r="W72" i="35"/>
  <c r="AR72" i="35"/>
  <c r="AE27" i="35"/>
  <c r="AH27" i="35"/>
  <c r="W27" i="35"/>
  <c r="AO27" i="35"/>
  <c r="V36" i="35"/>
  <c r="M38" i="35"/>
  <c r="K10" i="37" s="1"/>
  <c r="AF12" i="56" s="1"/>
  <c r="AT12" i="56" s="1"/>
  <c r="M43" i="35"/>
  <c r="AA10" i="37" s="1"/>
  <c r="AC36" i="35"/>
  <c r="AD36" i="35"/>
  <c r="AR18" i="35"/>
  <c r="M24" i="35"/>
  <c r="AJ18" i="35"/>
  <c r="M25" i="35"/>
  <c r="AA8" i="37" s="1"/>
  <c r="G13" i="37"/>
  <c r="AE15" i="56" s="1"/>
  <c r="AS15" i="56" s="1"/>
  <c r="M63" i="35"/>
  <c r="S45" i="35"/>
  <c r="AF45" i="35"/>
  <c r="AJ45" i="35"/>
  <c r="AO45" i="35"/>
  <c r="AV72" i="35"/>
  <c r="M34" i="35"/>
  <c r="AA9" i="37" s="1"/>
  <c r="Z27" i="35"/>
  <c r="V27" i="35"/>
  <c r="P27" i="35"/>
  <c r="AZ36" i="35"/>
  <c r="AH18" i="35"/>
  <c r="AB18" i="35"/>
  <c r="R18" i="35"/>
  <c r="AK18" i="35"/>
  <c r="Y18" i="35"/>
  <c r="O45" i="35"/>
  <c r="AN27" i="35"/>
  <c r="AR27" i="35"/>
  <c r="AI27" i="35"/>
  <c r="AT27" i="35"/>
  <c r="U36" i="35"/>
  <c r="Y36" i="35"/>
  <c r="M37" i="35"/>
  <c r="N36" i="35"/>
  <c r="AP36" i="35"/>
  <c r="AY18" i="35"/>
  <c r="AL18" i="35"/>
  <c r="AC18" i="35"/>
  <c r="V18" i="35"/>
  <c r="AG14" i="41"/>
  <c r="AR14" i="41" s="1"/>
  <c r="P13" i="37"/>
  <c r="Q13" i="37" s="1"/>
  <c r="I15" i="56" s="1"/>
  <c r="Z15" i="39"/>
  <c r="R45" i="35"/>
  <c r="M32" i="35"/>
  <c r="W9" i="37" s="1"/>
  <c r="AI11" i="56" s="1"/>
  <c r="AW11" i="56" s="1"/>
  <c r="Y27" i="35"/>
  <c r="N27" i="35"/>
  <c r="M28" i="35"/>
  <c r="T27" i="35"/>
  <c r="AZ27" i="35"/>
  <c r="AG27" i="35"/>
  <c r="M29" i="35"/>
  <c r="K9" i="37" s="1"/>
  <c r="AF11" i="56" s="1"/>
  <c r="AT11" i="56" s="1"/>
  <c r="AU36" i="35"/>
  <c r="X36" i="35"/>
  <c r="M42" i="35"/>
  <c r="AS36" i="35"/>
  <c r="AM36" i="35"/>
  <c r="AO36" i="35"/>
  <c r="AP18" i="35"/>
  <c r="O18" i="35"/>
  <c r="AW18" i="35"/>
  <c r="P18" i="35"/>
  <c r="AT18" i="35"/>
  <c r="AZ18" i="35"/>
  <c r="AL45" i="35"/>
  <c r="T45" i="35"/>
  <c r="AC45" i="35"/>
  <c r="M47" i="35"/>
  <c r="K11" i="37" s="1"/>
  <c r="AF13" i="56" s="1"/>
  <c r="AT13" i="56" s="1"/>
  <c r="Q45" i="35"/>
  <c r="AN45" i="35"/>
  <c r="M73" i="35"/>
  <c r="G14" i="37" s="1"/>
  <c r="AE16" i="56" s="1"/>
  <c r="AK36" i="35"/>
  <c r="AE72" i="35"/>
  <c r="AC27" i="35"/>
  <c r="Q27" i="35"/>
  <c r="AY27" i="35"/>
  <c r="AB27" i="35"/>
  <c r="AN36" i="35"/>
  <c r="AU18" i="35"/>
  <c r="Z18" i="35"/>
  <c r="AE18" i="35"/>
  <c r="N18" i="35"/>
  <c r="M19" i="35"/>
  <c r="M21" i="35"/>
  <c r="O8" i="37" s="1"/>
  <c r="AG10" i="56" s="1"/>
  <c r="AU10" i="56" s="1"/>
  <c r="BA18" i="35"/>
  <c r="M50" i="35"/>
  <c r="W11" i="37" s="1"/>
  <c r="AI13" i="56" s="1"/>
  <c r="AW13" i="56" s="1"/>
  <c r="BA45" i="35"/>
  <c r="U45" i="35"/>
  <c r="M49" i="35"/>
  <c r="S11" i="37" s="1"/>
  <c r="AH13" i="56" s="1"/>
  <c r="AV13" i="56" s="1"/>
  <c r="AP45" i="35"/>
  <c r="M51" i="35"/>
  <c r="X45" i="35"/>
  <c r="AH45" i="35"/>
  <c r="AX72" i="35"/>
  <c r="AD72" i="35"/>
  <c r="AK27" i="35"/>
  <c r="AL27" i="35"/>
  <c r="Z36" i="35"/>
  <c r="AN18" i="35"/>
  <c r="T18" i="35"/>
  <c r="AQ45" i="35"/>
  <c r="AB45" i="35"/>
  <c r="P45" i="35"/>
  <c r="AR45" i="35"/>
  <c r="AG45" i="35"/>
  <c r="W45" i="35"/>
  <c r="AB12" i="37"/>
  <c r="AC12" i="37" s="1"/>
  <c r="AF14" i="39"/>
  <c r="M54" i="35"/>
  <c r="BA9" i="35"/>
  <c r="AI9" i="35"/>
  <c r="P9" i="35"/>
  <c r="AB9" i="35"/>
  <c r="Q9" i="35"/>
  <c r="H12" i="37"/>
  <c r="V14" i="39"/>
  <c r="AE13" i="41"/>
  <c r="AA8" i="28"/>
  <c r="BH8" i="41"/>
  <c r="L8" i="53" s="1"/>
  <c r="AU9" i="35"/>
  <c r="Y9" i="35"/>
  <c r="N9" i="35"/>
  <c r="E64" i="46"/>
  <c r="AR9" i="35"/>
  <c r="X9" i="35"/>
  <c r="AV9" i="35" l="1"/>
  <c r="AX9" i="35"/>
  <c r="AK9" i="35"/>
  <c r="O9" i="35"/>
  <c r="AY9" i="35"/>
  <c r="R9" i="35"/>
  <c r="AO9" i="35"/>
  <c r="AO7" i="35" s="1"/>
  <c r="D5" i="48"/>
  <c r="E6" i="48"/>
  <c r="E5" i="48" s="1"/>
  <c r="AF13" i="41"/>
  <c r="AQ13" i="41" s="1"/>
  <c r="AS16" i="56"/>
  <c r="S15" i="56"/>
  <c r="AH13" i="41"/>
  <c r="AS13" i="41" s="1"/>
  <c r="AH14" i="56"/>
  <c r="AV14" i="56" s="1"/>
  <c r="AG15" i="41"/>
  <c r="AR15" i="41" s="1"/>
  <c r="AG16" i="56"/>
  <c r="AU16" i="56" s="1"/>
  <c r="AI15" i="41"/>
  <c r="AT15" i="41" s="1"/>
  <c r="AI16" i="56"/>
  <c r="AW16" i="56" s="1"/>
  <c r="AB16" i="39"/>
  <c r="AH16" i="56"/>
  <c r="AV16" i="56" s="1"/>
  <c r="X14" i="39"/>
  <c r="AF14" i="56"/>
  <c r="AT14" i="56" s="1"/>
  <c r="E5" i="49"/>
  <c r="E4" i="49" s="1"/>
  <c r="S4" i="49"/>
  <c r="S14" i="56"/>
  <c r="AI13" i="41"/>
  <c r="AT13" i="41" s="1"/>
  <c r="AI14" i="56"/>
  <c r="AW14" i="56" s="1"/>
  <c r="M18" i="35"/>
  <c r="U9" i="35"/>
  <c r="U7" i="35" s="1"/>
  <c r="Z9" i="35"/>
  <c r="AQ9" i="35"/>
  <c r="AQ7" i="35" s="1"/>
  <c r="AG9" i="35"/>
  <c r="S9" i="35"/>
  <c r="AA9" i="35"/>
  <c r="AW9" i="35"/>
  <c r="M16" i="35"/>
  <c r="AA7" i="37" s="1"/>
  <c r="AJ8" i="41" s="1"/>
  <c r="T15" i="56"/>
  <c r="U15" i="56"/>
  <c r="T14" i="56"/>
  <c r="V15" i="56"/>
  <c r="I14" i="41"/>
  <c r="J14" i="51"/>
  <c r="U14" i="51" s="1"/>
  <c r="I13" i="51"/>
  <c r="T13" i="51" s="1"/>
  <c r="J14" i="41"/>
  <c r="K14" i="51"/>
  <c r="V14" i="51" s="1"/>
  <c r="H14" i="41"/>
  <c r="I14" i="51"/>
  <c r="T14" i="51" s="1"/>
  <c r="H13" i="51"/>
  <c r="S13" i="51" s="1"/>
  <c r="G14" i="41"/>
  <c r="H14" i="51"/>
  <c r="S14" i="51" s="1"/>
  <c r="L7" i="53"/>
  <c r="X12" i="37"/>
  <c r="Y12" i="37" s="1"/>
  <c r="U7" i="47"/>
  <c r="V7" i="47" s="1"/>
  <c r="H13" i="41"/>
  <c r="C12" i="37"/>
  <c r="N12" i="37"/>
  <c r="Y14" i="39" s="1"/>
  <c r="G13" i="41"/>
  <c r="R13" i="41" s="1"/>
  <c r="BR13" i="41" s="1"/>
  <c r="C13" i="37"/>
  <c r="AG12" i="37"/>
  <c r="C11" i="58" s="1"/>
  <c r="H14" i="37"/>
  <c r="I14" i="37" s="1"/>
  <c r="G16" i="56" s="1"/>
  <c r="AB14" i="39"/>
  <c r="T12" i="37"/>
  <c r="U12" i="37" s="1"/>
  <c r="J14" i="56" s="1"/>
  <c r="M13" i="35"/>
  <c r="S7" i="37" s="1"/>
  <c r="T7" i="37" s="1"/>
  <c r="AD9" i="35"/>
  <c r="AD7" i="35" s="1"/>
  <c r="AM9" i="35"/>
  <c r="M11" i="35"/>
  <c r="K7" i="37" s="1"/>
  <c r="AP9" i="35"/>
  <c r="AP7" i="35" s="1"/>
  <c r="M10" i="35"/>
  <c r="AN9" i="35"/>
  <c r="AN7" i="35" s="1"/>
  <c r="BD9" i="35"/>
  <c r="BD7" i="35" s="1"/>
  <c r="M14" i="35"/>
  <c r="W7" i="37" s="1"/>
  <c r="AJ9" i="35"/>
  <c r="AJ7" i="35" s="1"/>
  <c r="AS9" i="35"/>
  <c r="AS7" i="35" s="1"/>
  <c r="AH9" i="35"/>
  <c r="AH7" i="35" s="1"/>
  <c r="M12" i="35"/>
  <c r="O7" i="37" s="1"/>
  <c r="Z9" i="39" s="1"/>
  <c r="AL9" i="35"/>
  <c r="AT9" i="35"/>
  <c r="BB9" i="35"/>
  <c r="BB7" i="35" s="1"/>
  <c r="BC9" i="35"/>
  <c r="BC7" i="35" s="1"/>
  <c r="AC9" i="35"/>
  <c r="AC7" i="35" s="1"/>
  <c r="M15" i="35"/>
  <c r="V9" i="35"/>
  <c r="V7" i="35" s="1"/>
  <c r="AE9" i="35"/>
  <c r="AE7" i="35" s="1"/>
  <c r="BF9" i="35"/>
  <c r="BF7" i="35" s="1"/>
  <c r="M17" i="35"/>
  <c r="BE9" i="35"/>
  <c r="BE7" i="35" s="1"/>
  <c r="T9" i="35"/>
  <c r="T7" i="35" s="1"/>
  <c r="AJ15" i="41"/>
  <c r="AU15" i="41" s="1"/>
  <c r="AX7" i="35"/>
  <c r="AD16" i="39"/>
  <c r="R7" i="35"/>
  <c r="X14" i="37"/>
  <c r="Y14" i="37" s="1"/>
  <c r="K16" i="56" s="1"/>
  <c r="AE15" i="41"/>
  <c r="AP15" i="41" s="1"/>
  <c r="AF16" i="39"/>
  <c r="AU7" i="35"/>
  <c r="S7" i="35"/>
  <c r="Q7" i="35"/>
  <c r="Z16" i="39"/>
  <c r="AL7" i="35"/>
  <c r="AD12" i="37"/>
  <c r="AG14" i="39" s="1"/>
  <c r="P14" i="37"/>
  <c r="Q14" i="37" s="1"/>
  <c r="I16" i="56" s="1"/>
  <c r="AV7" i="35"/>
  <c r="AD14" i="37"/>
  <c r="AG16" i="39" s="1"/>
  <c r="N7" i="35"/>
  <c r="AB7" i="35"/>
  <c r="AF7" i="35"/>
  <c r="X7" i="35"/>
  <c r="AY7" i="35"/>
  <c r="U6" i="47"/>
  <c r="V6" i="47" s="1"/>
  <c r="M72" i="35"/>
  <c r="AG7" i="35"/>
  <c r="Y7" i="35"/>
  <c r="AH15" i="41"/>
  <c r="AS15" i="41" s="1"/>
  <c r="AZ7" i="35"/>
  <c r="AK7" i="35"/>
  <c r="W7" i="35"/>
  <c r="T14" i="37"/>
  <c r="U14" i="37" s="1"/>
  <c r="J16" i="56" s="1"/>
  <c r="W6" i="47"/>
  <c r="X6" i="47" s="1"/>
  <c r="N13" i="37"/>
  <c r="Y15" i="39" s="1"/>
  <c r="AF12" i="41"/>
  <c r="AQ12" i="41" s="1"/>
  <c r="L11" i="37"/>
  <c r="M11" i="37" s="1"/>
  <c r="H13" i="56" s="1"/>
  <c r="X13" i="39"/>
  <c r="W7" i="47"/>
  <c r="X7" i="47" s="1"/>
  <c r="AM7" i="35"/>
  <c r="Z7" i="35"/>
  <c r="AF11" i="39"/>
  <c r="AJ10" i="41"/>
  <c r="AU10" i="41" s="1"/>
  <c r="AB9" i="37"/>
  <c r="AC9" i="37" s="1"/>
  <c r="AG9" i="37" s="1"/>
  <c r="C8" i="58" s="1"/>
  <c r="AD10" i="39"/>
  <c r="X8" i="37"/>
  <c r="Y8" i="37" s="1"/>
  <c r="K10" i="56" s="1"/>
  <c r="AI9" i="41"/>
  <c r="AT9" i="41" s="1"/>
  <c r="AJ12" i="41"/>
  <c r="AU12" i="41" s="1"/>
  <c r="AF13" i="39"/>
  <c r="AB11" i="37"/>
  <c r="AC11" i="37" s="1"/>
  <c r="AG11" i="37" s="1"/>
  <c r="C10" i="58" s="1"/>
  <c r="W9" i="47"/>
  <c r="X9" i="47" s="1"/>
  <c r="Z13" i="37"/>
  <c r="AE15" i="39" s="1"/>
  <c r="T11" i="37"/>
  <c r="U11" i="37" s="1"/>
  <c r="J13" i="56" s="1"/>
  <c r="AH12" i="41"/>
  <c r="AS12" i="41" s="1"/>
  <c r="AB13" i="39"/>
  <c r="AT7" i="35"/>
  <c r="P7" i="35"/>
  <c r="AF10" i="41"/>
  <c r="AQ10" i="41" s="1"/>
  <c r="L9" i="37"/>
  <c r="M9" i="37" s="1"/>
  <c r="H11" i="56" s="1"/>
  <c r="X11" i="39"/>
  <c r="Z12" i="39"/>
  <c r="P10" i="37"/>
  <c r="Q10" i="37" s="1"/>
  <c r="I12" i="56" s="1"/>
  <c r="AG11" i="41"/>
  <c r="AR11" i="41" s="1"/>
  <c r="AA7" i="35"/>
  <c r="AW7" i="35"/>
  <c r="AH11" i="41"/>
  <c r="AS11" i="41" s="1"/>
  <c r="T10" i="37"/>
  <c r="U10" i="37" s="1"/>
  <c r="J12" i="56" s="1"/>
  <c r="AB12" i="39"/>
  <c r="AR7" i="35"/>
  <c r="O7" i="35"/>
  <c r="AI12" i="41"/>
  <c r="AT12" i="41" s="1"/>
  <c r="X11" i="37"/>
  <c r="Y11" i="37" s="1"/>
  <c r="K13" i="56" s="1"/>
  <c r="AD13" i="39"/>
  <c r="AJ11" i="41"/>
  <c r="AU11" i="41" s="1"/>
  <c r="AB10" i="37"/>
  <c r="AC10" i="37" s="1"/>
  <c r="AG10" i="37" s="1"/>
  <c r="C9" i="58" s="1"/>
  <c r="AF12" i="39"/>
  <c r="V16" i="39"/>
  <c r="X12" i="39"/>
  <c r="L10" i="37"/>
  <c r="M10" i="37" s="1"/>
  <c r="H12" i="56" s="1"/>
  <c r="AF11" i="41"/>
  <c r="AQ11" i="41" s="1"/>
  <c r="W8" i="47"/>
  <c r="X8" i="47" s="1"/>
  <c r="V13" i="37"/>
  <c r="AC15" i="39" s="1"/>
  <c r="AD12" i="39"/>
  <c r="AI11" i="41"/>
  <c r="AT11" i="41" s="1"/>
  <c r="X10" i="37"/>
  <c r="Y10" i="37" s="1"/>
  <c r="K12" i="56" s="1"/>
  <c r="G11" i="37"/>
  <c r="AE13" i="56" s="1"/>
  <c r="AS13" i="56" s="1"/>
  <c r="M45" i="35"/>
  <c r="P8" i="37"/>
  <c r="Q8" i="37" s="1"/>
  <c r="I10" i="56" s="1"/>
  <c r="Z10" i="39"/>
  <c r="AG9" i="41"/>
  <c r="AR9" i="41" s="1"/>
  <c r="Z11" i="39"/>
  <c r="P9" i="37"/>
  <c r="Q9" i="37" s="1"/>
  <c r="I11" i="56" s="1"/>
  <c r="AG10" i="41"/>
  <c r="AR10" i="41" s="1"/>
  <c r="AB10" i="39"/>
  <c r="T8" i="37"/>
  <c r="U8" i="37" s="1"/>
  <c r="J10" i="56" s="1"/>
  <c r="AH9" i="41"/>
  <c r="AS9" i="41" s="1"/>
  <c r="G8" i="37"/>
  <c r="AE10" i="56" s="1"/>
  <c r="AS10" i="56" s="1"/>
  <c r="G9" i="37"/>
  <c r="AE11" i="56" s="1"/>
  <c r="AS11" i="56" s="1"/>
  <c r="M27" i="35"/>
  <c r="AD13" i="37"/>
  <c r="AG15" i="39" s="1"/>
  <c r="AF9" i="41"/>
  <c r="AQ9" i="41" s="1"/>
  <c r="L8" i="37"/>
  <c r="M8" i="37" s="1"/>
  <c r="H10" i="56" s="1"/>
  <c r="X10" i="39"/>
  <c r="AF15" i="41"/>
  <c r="AQ15" i="41" s="1"/>
  <c r="X16" i="39"/>
  <c r="L14" i="37"/>
  <c r="M14" i="37" s="1"/>
  <c r="H16" i="56" s="1"/>
  <c r="AI7" i="35"/>
  <c r="G10" i="37"/>
  <c r="AE12" i="56" s="1"/>
  <c r="AS12" i="56" s="1"/>
  <c r="M36" i="35"/>
  <c r="AE14" i="41"/>
  <c r="AP14" i="41" s="1"/>
  <c r="H13" i="37"/>
  <c r="V15" i="39"/>
  <c r="AH10" i="41"/>
  <c r="AS10" i="41" s="1"/>
  <c r="AB11" i="39"/>
  <c r="T9" i="37"/>
  <c r="U9" i="37" s="1"/>
  <c r="J11" i="56" s="1"/>
  <c r="BA7" i="35"/>
  <c r="AI10" i="41"/>
  <c r="AT10" i="41" s="1"/>
  <c r="X9" i="37"/>
  <c r="Y9" i="37" s="1"/>
  <c r="K11" i="56" s="1"/>
  <c r="AD11" i="39"/>
  <c r="AJ9" i="41"/>
  <c r="AU9" i="41" s="1"/>
  <c r="AF10" i="39"/>
  <c r="AB8" i="37"/>
  <c r="AC8" i="37" s="1"/>
  <c r="AG8" i="37" s="1"/>
  <c r="C7" i="58" s="1"/>
  <c r="AG12" i="41"/>
  <c r="AR12" i="41" s="1"/>
  <c r="P11" i="37"/>
  <c r="Q11" i="37" s="1"/>
  <c r="I13" i="56" s="1"/>
  <c r="Z13" i="39"/>
  <c r="BH7" i="41"/>
  <c r="AP13" i="41"/>
  <c r="I12" i="37"/>
  <c r="G14" i="56" s="1"/>
  <c r="AB7" i="37" l="1"/>
  <c r="AA6" i="37"/>
  <c r="M9" i="35"/>
  <c r="C7" i="37" s="1"/>
  <c r="G7" i="37"/>
  <c r="AE9" i="56" s="1"/>
  <c r="AS9" i="56" s="1"/>
  <c r="AF9" i="39"/>
  <c r="S6" i="37"/>
  <c r="AH8" i="41"/>
  <c r="AH7" i="41" s="1"/>
  <c r="O6" i="37"/>
  <c r="AG8" i="41"/>
  <c r="AR8" i="41" s="1"/>
  <c r="AR7" i="41" s="1"/>
  <c r="BY15" i="56"/>
  <c r="S51" i="46"/>
  <c r="BX14" i="56"/>
  <c r="Q50" i="46"/>
  <c r="BY14" i="56"/>
  <c r="Q51" i="46"/>
  <c r="CA15" i="56"/>
  <c r="S53" i="46"/>
  <c r="BX15" i="56"/>
  <c r="S50" i="46"/>
  <c r="BZ15" i="56"/>
  <c r="S52" i="46"/>
  <c r="AI8" i="41"/>
  <c r="AI7" i="41" s="1"/>
  <c r="AI9" i="56"/>
  <c r="BL13" i="37"/>
  <c r="S35" i="46"/>
  <c r="S16" i="56"/>
  <c r="AF8" i="41"/>
  <c r="AQ8" i="41" s="1"/>
  <c r="AQ7" i="41" s="1"/>
  <c r="AF9" i="56"/>
  <c r="BL12" i="37"/>
  <c r="Q35" i="46"/>
  <c r="S13" i="56"/>
  <c r="S10" i="56"/>
  <c r="S12" i="56"/>
  <c r="S11" i="56"/>
  <c r="BL7" i="37"/>
  <c r="G35" i="46"/>
  <c r="P7" i="37"/>
  <c r="P6" i="37" s="1"/>
  <c r="AG9" i="56"/>
  <c r="AB9" i="39"/>
  <c r="AB8" i="39" s="1"/>
  <c r="AH9" i="56"/>
  <c r="T11" i="56"/>
  <c r="T16" i="56"/>
  <c r="T13" i="56"/>
  <c r="U11" i="56"/>
  <c r="V10" i="56"/>
  <c r="T10" i="56"/>
  <c r="U12" i="56"/>
  <c r="U14" i="56"/>
  <c r="U16" i="56"/>
  <c r="V12" i="56"/>
  <c r="V13" i="56"/>
  <c r="U13" i="56"/>
  <c r="V11" i="56"/>
  <c r="U10" i="56"/>
  <c r="T12" i="56"/>
  <c r="V16" i="56"/>
  <c r="Z12" i="37"/>
  <c r="AE14" i="39" s="1"/>
  <c r="K14" i="56"/>
  <c r="R14" i="56"/>
  <c r="R16" i="56"/>
  <c r="H12" i="41"/>
  <c r="I12" i="51"/>
  <c r="T12" i="51" s="1"/>
  <c r="J9" i="41"/>
  <c r="K9" i="51"/>
  <c r="V9" i="51" s="1"/>
  <c r="H9" i="41"/>
  <c r="I9" i="51"/>
  <c r="T9" i="51" s="1"/>
  <c r="I11" i="41"/>
  <c r="J11" i="51"/>
  <c r="U11" i="51" s="1"/>
  <c r="J15" i="51"/>
  <c r="U15" i="51" s="1"/>
  <c r="J13" i="51"/>
  <c r="U13" i="51" s="1"/>
  <c r="I12" i="41"/>
  <c r="J12" i="51"/>
  <c r="U12" i="51" s="1"/>
  <c r="K13" i="51"/>
  <c r="V13" i="51" s="1"/>
  <c r="G13" i="51"/>
  <c r="R13" i="51" s="1"/>
  <c r="J11" i="41"/>
  <c r="K11" i="51"/>
  <c r="V11" i="51" s="1"/>
  <c r="J10" i="41"/>
  <c r="K10" i="51"/>
  <c r="V10" i="51" s="1"/>
  <c r="I9" i="41"/>
  <c r="J9" i="51"/>
  <c r="U9" i="51" s="1"/>
  <c r="G15" i="51"/>
  <c r="R15" i="51" s="1"/>
  <c r="J12" i="41"/>
  <c r="K12" i="51"/>
  <c r="V12" i="51" s="1"/>
  <c r="H11" i="41"/>
  <c r="I11" i="51"/>
  <c r="T11" i="51" s="1"/>
  <c r="J15" i="41"/>
  <c r="K15" i="51"/>
  <c r="V15" i="51" s="1"/>
  <c r="I10" i="41"/>
  <c r="J10" i="51"/>
  <c r="U10" i="51" s="1"/>
  <c r="J13" i="41"/>
  <c r="U13" i="41" s="1"/>
  <c r="BU13" i="41" s="1"/>
  <c r="H10" i="41"/>
  <c r="I10" i="51"/>
  <c r="T10" i="51" s="1"/>
  <c r="H15" i="41"/>
  <c r="I15" i="51"/>
  <c r="T15" i="51" s="1"/>
  <c r="U9" i="47"/>
  <c r="V9" i="47" s="1"/>
  <c r="G15" i="41"/>
  <c r="H15" i="51"/>
  <c r="G9" i="41"/>
  <c r="H9" i="51"/>
  <c r="S9" i="51" s="1"/>
  <c r="G12" i="41"/>
  <c r="H12" i="51"/>
  <c r="S12" i="51" s="1"/>
  <c r="G11" i="41"/>
  <c r="H11" i="51"/>
  <c r="S11" i="51" s="1"/>
  <c r="G10" i="41"/>
  <c r="H10" i="51"/>
  <c r="S10" i="51" s="1"/>
  <c r="C9" i="37"/>
  <c r="C10" i="37"/>
  <c r="C11" i="37"/>
  <c r="U8" i="47"/>
  <c r="V8" i="47" s="1"/>
  <c r="I13" i="41"/>
  <c r="C8" i="37"/>
  <c r="I35" i="46" s="1"/>
  <c r="C14" i="37"/>
  <c r="Y8" i="47"/>
  <c r="Z8" i="47" s="1"/>
  <c r="I15" i="41"/>
  <c r="F15" i="41"/>
  <c r="Q15" i="41" s="1"/>
  <c r="F13" i="41"/>
  <c r="X9" i="39"/>
  <c r="X8" i="39" s="1"/>
  <c r="S13" i="41"/>
  <c r="BS13" i="41" s="1"/>
  <c r="AF12" i="37"/>
  <c r="B11" i="58" s="1"/>
  <c r="D11" i="58" s="1"/>
  <c r="AF14" i="37"/>
  <c r="B13" i="58" s="1"/>
  <c r="D13" i="58" s="1"/>
  <c r="K6" i="37"/>
  <c r="L7" i="37"/>
  <c r="M7" i="37" s="1"/>
  <c r="H9" i="56" s="1"/>
  <c r="Y5" i="47"/>
  <c r="Z5" i="47" s="1"/>
  <c r="V12" i="37"/>
  <c r="AC14" i="39" s="1"/>
  <c r="W6" i="37"/>
  <c r="AD9" i="39"/>
  <c r="AD8" i="39" s="1"/>
  <c r="X7" i="37"/>
  <c r="Y7" i="37" s="1"/>
  <c r="K9" i="56" s="1"/>
  <c r="Y9" i="47"/>
  <c r="Z9" i="47" s="1"/>
  <c r="Z14" i="37"/>
  <c r="AE16" i="39" s="1"/>
  <c r="Y7" i="47"/>
  <c r="Z7" i="47" s="1"/>
  <c r="V14" i="37"/>
  <c r="AC16" i="39" s="1"/>
  <c r="Z8" i="39"/>
  <c r="AF8" i="39"/>
  <c r="AD15" i="41"/>
  <c r="R14" i="41"/>
  <c r="BR14" i="41" s="1"/>
  <c r="O8" i="47"/>
  <c r="P8" i="47" s="1"/>
  <c r="V9" i="37"/>
  <c r="AC11" i="39" s="1"/>
  <c r="Q9" i="47"/>
  <c r="R9" i="47" s="1"/>
  <c r="Z10" i="37"/>
  <c r="AE12" i="39" s="1"/>
  <c r="AD9" i="37"/>
  <c r="AG11" i="39" s="1"/>
  <c r="M8" i="47"/>
  <c r="N8" i="47" s="1"/>
  <c r="V8" i="37"/>
  <c r="AC10" i="39" s="1"/>
  <c r="Z11" i="37"/>
  <c r="AE13" i="39" s="1"/>
  <c r="S9" i="47"/>
  <c r="T9" i="47" s="1"/>
  <c r="V11" i="37"/>
  <c r="AC13" i="39" s="1"/>
  <c r="S8" i="47"/>
  <c r="T8" i="47" s="1"/>
  <c r="H8" i="37"/>
  <c r="AE9" i="41"/>
  <c r="AP9" i="41" s="1"/>
  <c r="V10" i="39"/>
  <c r="S7" i="47"/>
  <c r="T7" i="47" s="1"/>
  <c r="M6" i="47"/>
  <c r="N6" i="47" s="1"/>
  <c r="N8" i="37"/>
  <c r="Y10" i="39" s="1"/>
  <c r="U14" i="41"/>
  <c r="BU14" i="41" s="1"/>
  <c r="T14" i="41"/>
  <c r="BT14" i="41" s="1"/>
  <c r="AD8" i="37"/>
  <c r="AG10" i="39" s="1"/>
  <c r="I13" i="37"/>
  <c r="G15" i="56" s="1"/>
  <c r="O7" i="47"/>
  <c r="P7" i="47" s="1"/>
  <c r="Q7" i="47"/>
  <c r="R7" i="47" s="1"/>
  <c r="M7" i="35"/>
  <c r="M5" i="35" s="1"/>
  <c r="AD11" i="37"/>
  <c r="AG13" i="39" s="1"/>
  <c r="S14" i="41"/>
  <c r="BS14" i="41" s="1"/>
  <c r="Q6" i="47"/>
  <c r="R6" i="47" s="1"/>
  <c r="N10" i="37"/>
  <c r="Y12" i="39" s="1"/>
  <c r="O6" i="47"/>
  <c r="P6" i="47" s="1"/>
  <c r="N9" i="37"/>
  <c r="Y11" i="39" s="1"/>
  <c r="S6" i="47"/>
  <c r="T6" i="47" s="1"/>
  <c r="N11" i="37"/>
  <c r="Y13" i="39" s="1"/>
  <c r="V11" i="39"/>
  <c r="AE10" i="41"/>
  <c r="AP10" i="41" s="1"/>
  <c r="H9" i="37"/>
  <c r="M9" i="47"/>
  <c r="N9" i="47" s="1"/>
  <c r="Z8" i="37"/>
  <c r="AE10" i="39" s="1"/>
  <c r="V12" i="39"/>
  <c r="H10" i="37"/>
  <c r="AE11" i="41"/>
  <c r="AP11" i="41" s="1"/>
  <c r="O9" i="47"/>
  <c r="P9" i="47" s="1"/>
  <c r="Z9" i="37"/>
  <c r="AE11" i="39" s="1"/>
  <c r="M7" i="47"/>
  <c r="N7" i="47" s="1"/>
  <c r="Y6" i="47"/>
  <c r="Z6" i="47" s="1"/>
  <c r="N14" i="37"/>
  <c r="Y16" i="39" s="1"/>
  <c r="H11" i="37"/>
  <c r="V13" i="39"/>
  <c r="AE12" i="41"/>
  <c r="AP12" i="41" s="1"/>
  <c r="AD10" i="37"/>
  <c r="AG12" i="39" s="1"/>
  <c r="Q8" i="47"/>
  <c r="R8" i="47" s="1"/>
  <c r="V10" i="37"/>
  <c r="AC12" i="39" s="1"/>
  <c r="J14" i="37"/>
  <c r="W16" i="39" s="1"/>
  <c r="G6" i="37"/>
  <c r="AE8" i="41"/>
  <c r="V9" i="39"/>
  <c r="H7" i="37"/>
  <c r="U7" i="37"/>
  <c r="J9" i="56" s="1"/>
  <c r="T6" i="37"/>
  <c r="AC7" i="37"/>
  <c r="AG7" i="37" s="1"/>
  <c r="AB6" i="37"/>
  <c r="AU8" i="41"/>
  <c r="AU7" i="41" s="1"/>
  <c r="AJ7" i="41"/>
  <c r="J12" i="37"/>
  <c r="W14" i="39" s="1"/>
  <c r="U5" i="47"/>
  <c r="V5" i="47" s="1"/>
  <c r="AS8" i="41" l="1"/>
  <c r="AS7" i="41" s="1"/>
  <c r="AG7" i="41"/>
  <c r="Q7" i="37"/>
  <c r="I9" i="56" s="1"/>
  <c r="AT8" i="41"/>
  <c r="AT7" i="41" s="1"/>
  <c r="AE8" i="56"/>
  <c r="AF7" i="41"/>
  <c r="CA13" i="56"/>
  <c r="O53" i="46"/>
  <c r="CA12" i="56"/>
  <c r="M53" i="46"/>
  <c r="BX11" i="56"/>
  <c r="K50" i="46"/>
  <c r="BX16" i="56"/>
  <c r="U50" i="46"/>
  <c r="CA10" i="56"/>
  <c r="I53" i="46"/>
  <c r="BZ16" i="56"/>
  <c r="U52" i="46"/>
  <c r="BX12" i="56"/>
  <c r="M50" i="46"/>
  <c r="BY12" i="56"/>
  <c r="M51" i="46"/>
  <c r="BZ10" i="56"/>
  <c r="I52" i="46"/>
  <c r="BY16" i="56"/>
  <c r="U51" i="46"/>
  <c r="CA16" i="56"/>
  <c r="U53" i="46"/>
  <c r="BY13" i="56"/>
  <c r="O51" i="46"/>
  <c r="BZ14" i="56"/>
  <c r="Q52" i="46"/>
  <c r="BX10" i="56"/>
  <c r="I50" i="46"/>
  <c r="BZ11" i="56"/>
  <c r="K52" i="46"/>
  <c r="BZ12" i="56"/>
  <c r="M52" i="46"/>
  <c r="BY11" i="56"/>
  <c r="K51" i="46"/>
  <c r="BW16" i="56"/>
  <c r="U49" i="46"/>
  <c r="BX13" i="56"/>
  <c r="O50" i="46"/>
  <c r="CA11" i="56"/>
  <c r="K53" i="46"/>
  <c r="BW14" i="56"/>
  <c r="Q49" i="46"/>
  <c r="BZ13" i="56"/>
  <c r="O52" i="46"/>
  <c r="BY10" i="56"/>
  <c r="I51" i="46"/>
  <c r="AF8" i="56"/>
  <c r="AT9" i="56"/>
  <c r="AT8" i="56" s="1"/>
  <c r="AG6" i="37"/>
  <c r="C6" i="58"/>
  <c r="C5" i="58" s="1"/>
  <c r="BL14" i="37"/>
  <c r="U35" i="46"/>
  <c r="H8" i="56"/>
  <c r="S9" i="56"/>
  <c r="G50" i="46" s="1"/>
  <c r="AS8" i="56"/>
  <c r="G13" i="58"/>
  <c r="F13" i="58"/>
  <c r="BL11" i="37"/>
  <c r="O35" i="46"/>
  <c r="G11" i="58"/>
  <c r="U11" i="58" s="1"/>
  <c r="F11" i="58"/>
  <c r="T11" i="58" s="1"/>
  <c r="BL10" i="37"/>
  <c r="M35" i="46"/>
  <c r="AH8" i="56"/>
  <c r="AV9" i="56"/>
  <c r="AV8" i="56" s="1"/>
  <c r="BL9" i="37"/>
  <c r="K35" i="46"/>
  <c r="AG8" i="56"/>
  <c r="AU9" i="56"/>
  <c r="AU8" i="56" s="1"/>
  <c r="AI8" i="56"/>
  <c r="AW9" i="56"/>
  <c r="AW8" i="56" s="1"/>
  <c r="V14" i="56"/>
  <c r="T9" i="56"/>
  <c r="G51" i="46" s="1"/>
  <c r="I8" i="56"/>
  <c r="J8" i="56"/>
  <c r="U9" i="56"/>
  <c r="G52" i="46" s="1"/>
  <c r="K8" i="56"/>
  <c r="V9" i="56"/>
  <c r="G53" i="46" s="1"/>
  <c r="R15" i="56"/>
  <c r="I8" i="41"/>
  <c r="J8" i="51"/>
  <c r="G14" i="51"/>
  <c r="R14" i="51" s="1"/>
  <c r="J8" i="41"/>
  <c r="K8" i="51"/>
  <c r="H8" i="41"/>
  <c r="I8" i="51"/>
  <c r="G8" i="41"/>
  <c r="H8" i="51"/>
  <c r="S15" i="51"/>
  <c r="BL8" i="37"/>
  <c r="C6" i="37"/>
  <c r="F14" i="41"/>
  <c r="L6" i="37"/>
  <c r="BR14" i="37"/>
  <c r="AH14" i="37"/>
  <c r="AP14" i="37" s="1"/>
  <c r="AH12" i="37"/>
  <c r="AL12" i="37" s="1"/>
  <c r="BR12" i="37"/>
  <c r="AF13" i="37"/>
  <c r="B12" i="58" s="1"/>
  <c r="D12" i="58" s="1"/>
  <c r="X6" i="37"/>
  <c r="T13" i="41"/>
  <c r="BT13" i="41" s="1"/>
  <c r="U15" i="41"/>
  <c r="BU15" i="41" s="1"/>
  <c r="S15" i="41"/>
  <c r="BS15" i="41" s="1"/>
  <c r="T15" i="41"/>
  <c r="BT15" i="41" s="1"/>
  <c r="R12" i="41"/>
  <c r="BR12" i="41" s="1"/>
  <c r="I11" i="37"/>
  <c r="G13" i="56" s="1"/>
  <c r="T9" i="41"/>
  <c r="BT9" i="41" s="1"/>
  <c r="S12" i="41"/>
  <c r="BS12" i="41" s="1"/>
  <c r="V8" i="39"/>
  <c r="R15" i="41"/>
  <c r="BR15" i="41" s="1"/>
  <c r="U9" i="41"/>
  <c r="BU9" i="41" s="1"/>
  <c r="R10" i="41"/>
  <c r="BR10" i="41" s="1"/>
  <c r="S11" i="41"/>
  <c r="BS11" i="41" s="1"/>
  <c r="S9" i="41"/>
  <c r="BS9" i="41" s="1"/>
  <c r="I9" i="37"/>
  <c r="G11" i="56" s="1"/>
  <c r="T12" i="41"/>
  <c r="BT12" i="41" s="1"/>
  <c r="U11" i="41"/>
  <c r="BU11" i="41" s="1"/>
  <c r="S10" i="41"/>
  <c r="BS10" i="41" s="1"/>
  <c r="T11" i="41"/>
  <c r="BT11" i="41" s="1"/>
  <c r="U10" i="41"/>
  <c r="BU10" i="41" s="1"/>
  <c r="R11" i="41"/>
  <c r="BR11" i="41" s="1"/>
  <c r="W5" i="47"/>
  <c r="X5" i="47" s="1"/>
  <c r="J13" i="37"/>
  <c r="W15" i="39" s="1"/>
  <c r="R9" i="41"/>
  <c r="BR9" i="41" s="1"/>
  <c r="U12" i="41"/>
  <c r="BU12" i="41" s="1"/>
  <c r="T10" i="41"/>
  <c r="BT10" i="41" s="1"/>
  <c r="I8" i="37"/>
  <c r="I10" i="37"/>
  <c r="G12" i="56" s="1"/>
  <c r="I7" i="37"/>
  <c r="G9" i="56" s="1"/>
  <c r="H6" i="37"/>
  <c r="Q13" i="41"/>
  <c r="BQ13" i="41" s="1"/>
  <c r="AD7" i="37"/>
  <c r="AC6" i="37"/>
  <c r="AP8" i="41"/>
  <c r="AD8" i="41"/>
  <c r="AE7" i="41"/>
  <c r="K7" i="47"/>
  <c r="Q6" i="37"/>
  <c r="Z7" i="37"/>
  <c r="K9" i="47"/>
  <c r="Y6" i="37"/>
  <c r="K6" i="47"/>
  <c r="N7" i="37"/>
  <c r="M6" i="37"/>
  <c r="BQ15" i="41"/>
  <c r="V7" i="37"/>
  <c r="K8" i="47"/>
  <c r="U6" i="37"/>
  <c r="G10" i="56" l="1"/>
  <c r="AF8" i="37"/>
  <c r="H11" i="58"/>
  <c r="H13" i="58"/>
  <c r="CA14" i="56"/>
  <c r="Q53" i="46"/>
  <c r="BW15" i="56"/>
  <c r="S49" i="46"/>
  <c r="F12" i="58"/>
  <c r="T12" i="58" s="1"/>
  <c r="G12" i="58"/>
  <c r="U12" i="58" s="1"/>
  <c r="BX9" i="56"/>
  <c r="BX8" i="56" s="1"/>
  <c r="S8" i="56"/>
  <c r="BL6" i="37"/>
  <c r="U8" i="56"/>
  <c r="BZ9" i="56"/>
  <c r="BZ8" i="56" s="1"/>
  <c r="T8" i="56"/>
  <c r="BY9" i="56"/>
  <c r="BY8" i="56" s="1"/>
  <c r="V8" i="56"/>
  <c r="CA9" i="56"/>
  <c r="R9" i="56"/>
  <c r="R11" i="56"/>
  <c r="R13" i="56"/>
  <c r="R12" i="56"/>
  <c r="I7" i="51"/>
  <c r="T8" i="51"/>
  <c r="T7" i="51" s="1"/>
  <c r="K7" i="51"/>
  <c r="V8" i="51"/>
  <c r="V7" i="51" s="1"/>
  <c r="G8" i="51"/>
  <c r="G12" i="51"/>
  <c r="R12" i="51" s="1"/>
  <c r="G9" i="51"/>
  <c r="R9" i="51" s="1"/>
  <c r="G10" i="51"/>
  <c r="R10" i="51" s="1"/>
  <c r="J7" i="51"/>
  <c r="U8" i="51"/>
  <c r="U7" i="51" s="1"/>
  <c r="G11" i="51"/>
  <c r="R11" i="51" s="1"/>
  <c r="S8" i="51"/>
  <c r="H7" i="51"/>
  <c r="F12" i="41"/>
  <c r="F11" i="41"/>
  <c r="F8" i="41"/>
  <c r="F9" i="41"/>
  <c r="F10" i="41"/>
  <c r="BR13" i="37"/>
  <c r="AH13" i="37"/>
  <c r="AL13" i="37" s="1"/>
  <c r="AF11" i="37"/>
  <c r="B10" i="58" s="1"/>
  <c r="D10" i="58" s="1"/>
  <c r="AF9" i="37"/>
  <c r="B8" i="58" s="1"/>
  <c r="D8" i="58" s="1"/>
  <c r="AF10" i="37"/>
  <c r="B9" i="58" s="1"/>
  <c r="D9" i="58" s="1"/>
  <c r="AF7" i="37"/>
  <c r="B6" i="58" s="1"/>
  <c r="B7" i="58"/>
  <c r="D7" i="58" s="1"/>
  <c r="AL14" i="37"/>
  <c r="Q14" i="41"/>
  <c r="BQ14" i="41" s="1"/>
  <c r="M5" i="47"/>
  <c r="N5" i="47" s="1"/>
  <c r="J8" i="37"/>
  <c r="W10" i="39" s="1"/>
  <c r="S5" i="47"/>
  <c r="T5" i="47" s="1"/>
  <c r="J11" i="37"/>
  <c r="W13" i="39" s="1"/>
  <c r="O5" i="47"/>
  <c r="P5" i="47" s="1"/>
  <c r="J9" i="37"/>
  <c r="W11" i="39" s="1"/>
  <c r="Q5" i="47"/>
  <c r="R5" i="47" s="1"/>
  <c r="J10" i="37"/>
  <c r="W12" i="39" s="1"/>
  <c r="AG9" i="39"/>
  <c r="AG8" i="39" s="1"/>
  <c r="AD6" i="37"/>
  <c r="S8" i="41"/>
  <c r="E40" i="46"/>
  <c r="H7" i="41"/>
  <c r="L7" i="47"/>
  <c r="H7" i="47" s="1"/>
  <c r="C7" i="47"/>
  <c r="E42" i="46"/>
  <c r="U8" i="41"/>
  <c r="J7" i="41"/>
  <c r="L9" i="47"/>
  <c r="H9" i="47" s="1"/>
  <c r="C9" i="47"/>
  <c r="L6" i="47"/>
  <c r="H6" i="47" s="1"/>
  <c r="C6" i="47"/>
  <c r="AC9" i="39"/>
  <c r="AC8" i="39" s="1"/>
  <c r="V6" i="37"/>
  <c r="E47" i="44" s="1"/>
  <c r="E39" i="46"/>
  <c r="R8" i="41"/>
  <c r="G7" i="41"/>
  <c r="AP12" i="37"/>
  <c r="N6" i="37"/>
  <c r="E45" i="44" s="1"/>
  <c r="Y9" i="39"/>
  <c r="Y8" i="39" s="1"/>
  <c r="AE9" i="39"/>
  <c r="AE8" i="39" s="1"/>
  <c r="Z6" i="37"/>
  <c r="E48" i="44" s="1"/>
  <c r="T8" i="41"/>
  <c r="E41" i="46"/>
  <c r="I7" i="41"/>
  <c r="L8" i="47"/>
  <c r="H8" i="47" s="1"/>
  <c r="C8" i="47"/>
  <c r="AP7" i="41"/>
  <c r="AO14" i="37"/>
  <c r="AN14" i="37" s="1"/>
  <c r="AJ16" i="39" s="1"/>
  <c r="AQ14" i="37"/>
  <c r="AK16" i="39" s="1"/>
  <c r="J7" i="37"/>
  <c r="K5" i="47"/>
  <c r="I6" i="37"/>
  <c r="G8" i="56" l="1"/>
  <c r="R10" i="56"/>
  <c r="BW10" i="56" s="1"/>
  <c r="J13" i="58"/>
  <c r="P13" i="58"/>
  <c r="V11" i="58"/>
  <c r="O11" i="58"/>
  <c r="J11" i="58"/>
  <c r="K11" i="58" s="1"/>
  <c r="CA8" i="56"/>
  <c r="BW13" i="56"/>
  <c r="O49" i="46"/>
  <c r="BW12" i="56"/>
  <c r="M49" i="46"/>
  <c r="BW11" i="56"/>
  <c r="K49" i="46"/>
  <c r="BW9" i="56"/>
  <c r="G49" i="46"/>
  <c r="F7" i="58"/>
  <c r="T7" i="58" s="1"/>
  <c r="G7" i="58"/>
  <c r="U7" i="58" s="1"/>
  <c r="D6" i="58"/>
  <c r="B5" i="58"/>
  <c r="G9" i="58"/>
  <c r="U9" i="58" s="1"/>
  <c r="F9" i="58"/>
  <c r="T9" i="58" s="1"/>
  <c r="G10" i="58"/>
  <c r="U10" i="58" s="1"/>
  <c r="F10" i="58"/>
  <c r="T10" i="58" s="1"/>
  <c r="G8" i="58"/>
  <c r="U8" i="58" s="1"/>
  <c r="F8" i="58"/>
  <c r="T8" i="58" s="1"/>
  <c r="AM14" i="37"/>
  <c r="AI16" i="39" s="1"/>
  <c r="H12" i="58"/>
  <c r="R8" i="51"/>
  <c r="R7" i="51" s="1"/>
  <c r="G7" i="51"/>
  <c r="S7" i="51"/>
  <c r="AT14" i="37"/>
  <c r="AV14" i="37" s="1"/>
  <c r="AH8" i="37"/>
  <c r="AL8" i="37" s="1"/>
  <c r="BR8" i="37"/>
  <c r="AH7" i="37"/>
  <c r="AL7" i="37" s="1"/>
  <c r="BR7" i="37"/>
  <c r="AH10" i="37"/>
  <c r="AL10" i="37" s="1"/>
  <c r="BR10" i="37"/>
  <c r="AH9" i="37"/>
  <c r="AL9" i="37" s="1"/>
  <c r="BR9" i="37"/>
  <c r="AH11" i="37"/>
  <c r="AL11" i="37" s="1"/>
  <c r="BR11" i="37"/>
  <c r="AF6" i="37"/>
  <c r="AK14" i="37"/>
  <c r="AJ14" i="37" s="1"/>
  <c r="Q10" i="41"/>
  <c r="BQ10" i="41" s="1"/>
  <c r="AP13" i="37"/>
  <c r="Q11" i="41"/>
  <c r="BQ11" i="41" s="1"/>
  <c r="Q9" i="41"/>
  <c r="BQ9" i="41" s="1"/>
  <c r="Q12" i="41"/>
  <c r="BQ12" i="41" s="1"/>
  <c r="BR8" i="41"/>
  <c r="BR7" i="41" s="1"/>
  <c r="R7" i="41"/>
  <c r="AT12" i="37"/>
  <c r="AW12" i="37" s="1"/>
  <c r="AM12" i="37"/>
  <c r="AK12" i="37"/>
  <c r="BS8" i="41"/>
  <c r="BS7" i="41" s="1"/>
  <c r="S7" i="41"/>
  <c r="AO12" i="37"/>
  <c r="AN12" i="37" s="1"/>
  <c r="AQ12" i="37"/>
  <c r="AK14" i="39" s="1"/>
  <c r="Q8" i="41"/>
  <c r="F7" i="41"/>
  <c r="L5" i="47"/>
  <c r="H5" i="47" s="1"/>
  <c r="C5" i="47"/>
  <c r="BT8" i="41"/>
  <c r="BT7" i="41" s="1"/>
  <c r="T7" i="41"/>
  <c r="BU8" i="41"/>
  <c r="BU7" i="41" s="1"/>
  <c r="U7" i="41"/>
  <c r="W9" i="39"/>
  <c r="W8" i="39" s="1"/>
  <c r="J6" i="37"/>
  <c r="E44" i="44" s="1"/>
  <c r="R8" i="56" l="1"/>
  <c r="I49" i="46"/>
  <c r="K13" i="58"/>
  <c r="R13" i="58" s="1"/>
  <c r="BP16" i="56" s="1"/>
  <c r="Q13" i="58"/>
  <c r="V12" i="58"/>
  <c r="O12" i="58"/>
  <c r="T5" i="58"/>
  <c r="U5" i="58"/>
  <c r="J12" i="58"/>
  <c r="K12" i="58" s="1"/>
  <c r="BW8" i="56"/>
  <c r="H10" i="58"/>
  <c r="H9" i="58"/>
  <c r="F6" i="58"/>
  <c r="G6" i="58"/>
  <c r="G5" i="58" s="1"/>
  <c r="D5" i="58"/>
  <c r="H8" i="58"/>
  <c r="H7" i="58"/>
  <c r="AS14" i="37"/>
  <c r="BR6" i="37"/>
  <c r="AP8" i="37"/>
  <c r="AP11" i="37"/>
  <c r="AP10" i="37"/>
  <c r="AP9" i="37"/>
  <c r="AO13" i="37"/>
  <c r="AN13" i="37" s="1"/>
  <c r="AQ13" i="37"/>
  <c r="AK15" i="39" s="1"/>
  <c r="AT13" i="37"/>
  <c r="AW13" i="37" s="1"/>
  <c r="AK13" i="37"/>
  <c r="AM13" i="37"/>
  <c r="AP7" i="37"/>
  <c r="AH6" i="37"/>
  <c r="AJ12" i="37"/>
  <c r="AS12" i="37"/>
  <c r="AJ14" i="39"/>
  <c r="AL13" i="41"/>
  <c r="AW13" i="41" s="1"/>
  <c r="AI14" i="39"/>
  <c r="BQ8" i="41"/>
  <c r="BQ7" i="41" s="1"/>
  <c r="Q7" i="41"/>
  <c r="AH16" i="39"/>
  <c r="AR14" i="37"/>
  <c r="E38" i="46"/>
  <c r="V7" i="58" l="1"/>
  <c r="O7" i="58"/>
  <c r="V9" i="58"/>
  <c r="O9" i="58"/>
  <c r="V10" i="58"/>
  <c r="O10" i="58"/>
  <c r="V8" i="58"/>
  <c r="O8" i="58"/>
  <c r="J9" i="58"/>
  <c r="K9" i="58" s="1"/>
  <c r="J7" i="58"/>
  <c r="K7" i="58" s="1"/>
  <c r="J8" i="58"/>
  <c r="K8" i="58" s="1"/>
  <c r="J10" i="58"/>
  <c r="K10" i="58" s="1"/>
  <c r="H6" i="58"/>
  <c r="P6" i="58" s="1"/>
  <c r="P5" i="58" s="1"/>
  <c r="F5" i="58"/>
  <c r="AO10" i="37"/>
  <c r="AN10" i="37" s="1"/>
  <c r="AQ10" i="37"/>
  <c r="AK12" i="39" s="1"/>
  <c r="AL14" i="41"/>
  <c r="AW14" i="41" s="1"/>
  <c r="AJ15" i="39"/>
  <c r="AM10" i="37"/>
  <c r="AK10" i="37"/>
  <c r="AT10" i="37"/>
  <c r="AW10" i="37" s="1"/>
  <c r="AM11" i="37"/>
  <c r="AK11" i="37"/>
  <c r="AT11" i="37"/>
  <c r="AW11" i="37" s="1"/>
  <c r="AQ11" i="37"/>
  <c r="AK13" i="39" s="1"/>
  <c r="AO11" i="37"/>
  <c r="AN11" i="37" s="1"/>
  <c r="AM9" i="37"/>
  <c r="AT9" i="37"/>
  <c r="AW9" i="37" s="1"/>
  <c r="AK9" i="37"/>
  <c r="AI15" i="39"/>
  <c r="AJ13" i="37"/>
  <c r="AS13" i="37"/>
  <c r="AO8" i="37"/>
  <c r="AN8" i="37" s="1"/>
  <c r="AQ8" i="37"/>
  <c r="AK10" i="39" s="1"/>
  <c r="AO9" i="37"/>
  <c r="AN9" i="37" s="1"/>
  <c r="AQ9" i="37"/>
  <c r="AK11" i="39" s="1"/>
  <c r="AM8" i="37"/>
  <c r="AK8" i="37"/>
  <c r="AT8" i="37"/>
  <c r="AW8" i="37" s="1"/>
  <c r="AK7" i="37"/>
  <c r="AM7" i="37"/>
  <c r="AL6" i="37"/>
  <c r="AT7" i="37"/>
  <c r="AV7" i="37" s="1"/>
  <c r="AV6" i="37" s="1"/>
  <c r="AQ7" i="37"/>
  <c r="AO7" i="37"/>
  <c r="AP6" i="37"/>
  <c r="AK13" i="41"/>
  <c r="AH14" i="39"/>
  <c r="AR12" i="37"/>
  <c r="O5" i="58" l="1"/>
  <c r="V5" i="58"/>
  <c r="J6" i="58"/>
  <c r="Q6" i="58" s="1"/>
  <c r="Q5" i="58" s="1"/>
  <c r="E59" i="44"/>
  <c r="BE5" i="37"/>
  <c r="E58" i="44"/>
  <c r="BA5" i="37"/>
  <c r="AW6" i="37"/>
  <c r="AX11" i="37" s="1"/>
  <c r="H5" i="58"/>
  <c r="AT6" i="37"/>
  <c r="AJ13" i="39"/>
  <c r="AL12" i="41"/>
  <c r="AW12" i="41" s="1"/>
  <c r="AJ10" i="37"/>
  <c r="AS10" i="37"/>
  <c r="AL10" i="41"/>
  <c r="AW10" i="41" s="1"/>
  <c r="AJ11" i="39"/>
  <c r="AI12" i="39"/>
  <c r="AJ9" i="37"/>
  <c r="AS9" i="37"/>
  <c r="AJ10" i="39"/>
  <c r="AL9" i="41"/>
  <c r="AJ11" i="37"/>
  <c r="AS11" i="37"/>
  <c r="AI11" i="39"/>
  <c r="AI13" i="39"/>
  <c r="AH15" i="39"/>
  <c r="AK14" i="41"/>
  <c r="AR13" i="37"/>
  <c r="AL11" i="41"/>
  <c r="AW11" i="41" s="1"/>
  <c r="AJ12" i="39"/>
  <c r="AJ8" i="37"/>
  <c r="AS8" i="37"/>
  <c r="AI10" i="39"/>
  <c r="AS7" i="37"/>
  <c r="AN7" i="37"/>
  <c r="AO6" i="37"/>
  <c r="AQ6" i="37"/>
  <c r="AK9" i="39"/>
  <c r="AK8" i="39" s="1"/>
  <c r="AJ7" i="37"/>
  <c r="AK6" i="37"/>
  <c r="AI9" i="39"/>
  <c r="AM6" i="37"/>
  <c r="AV13" i="41"/>
  <c r="AD13" i="41"/>
  <c r="Z6" i="58" l="1"/>
  <c r="BQ9" i="56" s="1"/>
  <c r="K6" i="58"/>
  <c r="R6" i="58" s="1"/>
  <c r="J5" i="58"/>
  <c r="BA11" i="37"/>
  <c r="BE11" i="37"/>
  <c r="AX9" i="37"/>
  <c r="AX14" i="37"/>
  <c r="AX7" i="37"/>
  <c r="AX12" i="37"/>
  <c r="AX13" i="37"/>
  <c r="AX8" i="37"/>
  <c r="AX10" i="37"/>
  <c r="AS6" i="37"/>
  <c r="AI8" i="39"/>
  <c r="AW9" i="41"/>
  <c r="AW7" i="41" s="1"/>
  <c r="AL7" i="41"/>
  <c r="AH10" i="39"/>
  <c r="AR8" i="37"/>
  <c r="AK9" i="41"/>
  <c r="AV14" i="41"/>
  <c r="AD14" i="41"/>
  <c r="AH11" i="39"/>
  <c r="AR9" i="37"/>
  <c r="AK10" i="41"/>
  <c r="AK11" i="41"/>
  <c r="AR10" i="37"/>
  <c r="AH12" i="39"/>
  <c r="AK12" i="41"/>
  <c r="AH13" i="39"/>
  <c r="AR11" i="37"/>
  <c r="AJ9" i="39"/>
  <c r="AJ8" i="39" s="1"/>
  <c r="AN6" i="37"/>
  <c r="AH9" i="39"/>
  <c r="AJ6" i="37"/>
  <c r="AR7" i="37"/>
  <c r="R5" i="58" l="1"/>
  <c r="BP9" i="56"/>
  <c r="K5" i="58"/>
  <c r="BA7" i="37"/>
  <c r="AZ7" i="37" s="1"/>
  <c r="BE7" i="37"/>
  <c r="BE8" i="37"/>
  <c r="BA8" i="37"/>
  <c r="BA10" i="37"/>
  <c r="BE10" i="37"/>
  <c r="BA9" i="37"/>
  <c r="BE9" i="37"/>
  <c r="BA13" i="37"/>
  <c r="BE13" i="37"/>
  <c r="BE14" i="37"/>
  <c r="BA14" i="37"/>
  <c r="BA12" i="37"/>
  <c r="BE12" i="37"/>
  <c r="L9" i="56"/>
  <c r="BT7" i="37"/>
  <c r="M8" i="51"/>
  <c r="X8" i="51" s="1"/>
  <c r="L8" i="41"/>
  <c r="W8" i="41" s="1"/>
  <c r="BW8" i="41" s="1"/>
  <c r="AX6" i="37"/>
  <c r="AR6" i="37"/>
  <c r="AH8" i="39"/>
  <c r="AV12" i="41"/>
  <c r="AD12" i="41"/>
  <c r="AV9" i="41"/>
  <c r="AD9" i="41"/>
  <c r="AK7" i="41"/>
  <c r="AV10" i="41"/>
  <c r="AD10" i="41"/>
  <c r="AV11" i="41"/>
  <c r="AD11" i="41"/>
  <c r="L13" i="58" l="1"/>
  <c r="L11" i="58"/>
  <c r="L12" i="58"/>
  <c r="L8" i="58"/>
  <c r="L9" i="58"/>
  <c r="L10" i="58"/>
  <c r="L7" i="58"/>
  <c r="L6" i="58"/>
  <c r="M16" i="56"/>
  <c r="BV14" i="37"/>
  <c r="M15" i="41"/>
  <c r="X15" i="41" s="1"/>
  <c r="BX15" i="41" s="1"/>
  <c r="N15" i="51"/>
  <c r="Y15" i="51" s="1"/>
  <c r="M9" i="56"/>
  <c r="M8" i="41"/>
  <c r="X8" i="41" s="1"/>
  <c r="BX8" i="41" s="1"/>
  <c r="N8" i="51"/>
  <c r="Y8" i="51" s="1"/>
  <c r="BV7" i="37"/>
  <c r="AY7" i="37"/>
  <c r="AZ14" i="37"/>
  <c r="L16" i="56"/>
  <c r="M15" i="51"/>
  <c r="X15" i="51" s="1"/>
  <c r="L15" i="41"/>
  <c r="W15" i="41" s="1"/>
  <c r="BW15" i="41" s="1"/>
  <c r="BT14" i="37"/>
  <c r="BI14" i="37"/>
  <c r="W13" i="58" s="1"/>
  <c r="X13" i="58" s="1"/>
  <c r="Y13" i="58" s="1"/>
  <c r="Z13" i="58" s="1"/>
  <c r="BQ16" i="56" s="1"/>
  <c r="W9" i="56"/>
  <c r="M11" i="56"/>
  <c r="M14" i="56"/>
  <c r="M12" i="56"/>
  <c r="M15" i="56"/>
  <c r="M13" i="56"/>
  <c r="AD7" i="41"/>
  <c r="AV7" i="41"/>
  <c r="L5" i="58" l="1"/>
  <c r="X9" i="56"/>
  <c r="X16" i="56"/>
  <c r="W16" i="56"/>
  <c r="AY14" i="37"/>
  <c r="BH14" i="37"/>
  <c r="CB9" i="56"/>
  <c r="G54" i="46"/>
  <c r="AJ9" i="56"/>
  <c r="BK7" i="37"/>
  <c r="BM7" i="37" s="1"/>
  <c r="BP8" i="56"/>
  <c r="M10" i="56"/>
  <c r="X14" i="56"/>
  <c r="X13" i="56"/>
  <c r="X15" i="56"/>
  <c r="X12" i="56"/>
  <c r="X11" i="56"/>
  <c r="N12" i="51"/>
  <c r="Y12" i="51" s="1"/>
  <c r="N10" i="51"/>
  <c r="Y10" i="51" s="1"/>
  <c r="N14" i="51"/>
  <c r="Y14" i="51" s="1"/>
  <c r="N11" i="51"/>
  <c r="Y11" i="51" s="1"/>
  <c r="N13" i="51"/>
  <c r="Y13" i="51" s="1"/>
  <c r="BV13" i="37"/>
  <c r="M14" i="41"/>
  <c r="BV12" i="37"/>
  <c r="M13" i="41"/>
  <c r="BV11" i="37"/>
  <c r="M12" i="41"/>
  <c r="BV9" i="37"/>
  <c r="M10" i="41"/>
  <c r="BV10" i="37"/>
  <c r="M11" i="41"/>
  <c r="L13" i="56"/>
  <c r="L15" i="56"/>
  <c r="L10" i="56"/>
  <c r="L12" i="56"/>
  <c r="L14" i="56"/>
  <c r="L11" i="56"/>
  <c r="U55" i="46" l="1"/>
  <c r="CC16" i="56"/>
  <c r="CC9" i="56"/>
  <c r="G55" i="46"/>
  <c r="AX9" i="56"/>
  <c r="AJ16" i="56"/>
  <c r="BK14" i="37"/>
  <c r="BM14" i="37" s="1"/>
  <c r="D14" i="37" s="1"/>
  <c r="D16" i="39" s="1"/>
  <c r="CB16" i="56"/>
  <c r="U54" i="46"/>
  <c r="BN7" i="37"/>
  <c r="AL9" i="56"/>
  <c r="AZ9" i="56" s="1"/>
  <c r="BA9" i="56" s="1"/>
  <c r="D7" i="37"/>
  <c r="D9" i="39" s="1"/>
  <c r="BV8" i="37"/>
  <c r="BV6" i="37" s="1"/>
  <c r="CC13" i="56"/>
  <c r="O55" i="46"/>
  <c r="CC15" i="56"/>
  <c r="S55" i="46"/>
  <c r="CC12" i="56"/>
  <c r="M55" i="46"/>
  <c r="CC14" i="56"/>
  <c r="Q55" i="46"/>
  <c r="CC11" i="56"/>
  <c r="K55" i="46"/>
  <c r="M8" i="56"/>
  <c r="M9" i="41"/>
  <c r="X9" i="41" s="1"/>
  <c r="N9" i="51"/>
  <c r="N7" i="51" s="1"/>
  <c r="X10" i="56"/>
  <c r="I55" i="46" s="1"/>
  <c r="W11" i="56"/>
  <c r="W14" i="56"/>
  <c r="L8" i="56"/>
  <c r="W10" i="56"/>
  <c r="W12" i="56"/>
  <c r="W13" i="56"/>
  <c r="W15" i="56"/>
  <c r="M11" i="51"/>
  <c r="X11" i="51" s="1"/>
  <c r="M14" i="51"/>
  <c r="X14" i="51" s="1"/>
  <c r="M12" i="51"/>
  <c r="X12" i="51" s="1"/>
  <c r="M9" i="51"/>
  <c r="M10" i="51"/>
  <c r="X10" i="51" s="1"/>
  <c r="M13" i="51"/>
  <c r="X13" i="51" s="1"/>
  <c r="X12" i="41"/>
  <c r="BX12" i="41" s="1"/>
  <c r="BT11" i="37"/>
  <c r="L12" i="41"/>
  <c r="X10" i="41"/>
  <c r="BX10" i="41" s="1"/>
  <c r="X13" i="41"/>
  <c r="BX13" i="41" s="1"/>
  <c r="BT12" i="37"/>
  <c r="L13" i="41"/>
  <c r="X14" i="41"/>
  <c r="BX14" i="41" s="1"/>
  <c r="BT10" i="37"/>
  <c r="L11" i="41"/>
  <c r="BT8" i="37"/>
  <c r="L9" i="41"/>
  <c r="BT9" i="37"/>
  <c r="L10" i="41"/>
  <c r="BT13" i="37"/>
  <c r="L14" i="41"/>
  <c r="X11" i="41"/>
  <c r="BX11" i="41" s="1"/>
  <c r="BD10" i="37"/>
  <c r="AK12" i="56" s="1"/>
  <c r="AY12" i="56" s="1"/>
  <c r="BF10" i="37"/>
  <c r="Q14" i="47" s="1"/>
  <c r="BD9" i="37"/>
  <c r="AK11" i="56" s="1"/>
  <c r="AY11" i="56" s="1"/>
  <c r="BF9" i="37"/>
  <c r="O14" i="47" s="1"/>
  <c r="AZ10" i="37"/>
  <c r="BB10" i="37"/>
  <c r="BI10" i="37"/>
  <c r="W9" i="58" s="1"/>
  <c r="X9" i="58" s="1"/>
  <c r="Y9" i="58" s="1"/>
  <c r="Z9" i="58" s="1"/>
  <c r="BQ12" i="56" s="1"/>
  <c r="BI9" i="37"/>
  <c r="W8" i="58" s="1"/>
  <c r="X8" i="58" s="1"/>
  <c r="Y8" i="58" s="1"/>
  <c r="Z8" i="58" s="1"/>
  <c r="BQ11" i="56" s="1"/>
  <c r="AZ9" i="37"/>
  <c r="BB9" i="37"/>
  <c r="O11" i="47" s="1"/>
  <c r="BF8" i="37"/>
  <c r="BD8" i="37"/>
  <c r="BE6" i="37"/>
  <c r="AZ8" i="37"/>
  <c r="BB8" i="37"/>
  <c r="M11" i="47" s="1"/>
  <c r="BA6" i="37"/>
  <c r="BI8" i="37"/>
  <c r="W7" i="58" s="1"/>
  <c r="BB13" i="37"/>
  <c r="W11" i="47" s="1"/>
  <c r="AZ13" i="37"/>
  <c r="BI13" i="37"/>
  <c r="W12" i="58" s="1"/>
  <c r="X12" i="58" s="1"/>
  <c r="Y12" i="58" s="1"/>
  <c r="Z12" i="58" s="1"/>
  <c r="BQ15" i="56" s="1"/>
  <c r="BD13" i="37"/>
  <c r="AK15" i="56" s="1"/>
  <c r="AY15" i="56" s="1"/>
  <c r="BF13" i="37"/>
  <c r="W14" i="47" s="1"/>
  <c r="BD11" i="37"/>
  <c r="AK13" i="56" s="1"/>
  <c r="AY13" i="56" s="1"/>
  <c r="BF11" i="37"/>
  <c r="S14" i="47" s="1"/>
  <c r="BI11" i="37"/>
  <c r="W10" i="58" s="1"/>
  <c r="X10" i="58" s="1"/>
  <c r="Y10" i="58" s="1"/>
  <c r="Z10" i="58" s="1"/>
  <c r="BQ13" i="56" s="1"/>
  <c r="AZ11" i="37"/>
  <c r="BB11" i="37"/>
  <c r="S11" i="47" s="1"/>
  <c r="BI12" i="37"/>
  <c r="W11" i="58" s="1"/>
  <c r="X11" i="58" s="1"/>
  <c r="Y11" i="58" s="1"/>
  <c r="Z11" i="58" s="1"/>
  <c r="BQ14" i="56" s="1"/>
  <c r="BB12" i="37"/>
  <c r="U11" i="47" s="1"/>
  <c r="AZ12" i="37"/>
  <c r="BD12" i="37"/>
  <c r="AK14" i="56" s="1"/>
  <c r="AY14" i="56" s="1"/>
  <c r="BF12" i="37"/>
  <c r="U14" i="47" s="1"/>
  <c r="CC10" i="56" l="1"/>
  <c r="CC8" i="56" s="1"/>
  <c r="W5" i="58"/>
  <c r="X7" i="58"/>
  <c r="M7" i="41"/>
  <c r="I16" i="39"/>
  <c r="BO7" i="37"/>
  <c r="E7" i="37"/>
  <c r="AL16" i="56"/>
  <c r="AZ16" i="56" s="1"/>
  <c r="BN14" i="37"/>
  <c r="E14" i="37" s="1"/>
  <c r="AX16" i="56"/>
  <c r="AM9" i="56"/>
  <c r="I9" i="39"/>
  <c r="X8" i="56"/>
  <c r="CB13" i="56"/>
  <c r="O54" i="46"/>
  <c r="CB14" i="56"/>
  <c r="Q54" i="46"/>
  <c r="CB10" i="56"/>
  <c r="I54" i="46"/>
  <c r="CB11" i="56"/>
  <c r="K54" i="46"/>
  <c r="CB15" i="56"/>
  <c r="S54" i="46"/>
  <c r="CB12" i="56"/>
  <c r="M54" i="46"/>
  <c r="Y9" i="51"/>
  <c r="Y7" i="51" s="1"/>
  <c r="W8" i="56"/>
  <c r="N11" i="47"/>
  <c r="M7" i="51"/>
  <c r="X9" i="51"/>
  <c r="X7" i="51" s="1"/>
  <c r="BT6" i="37"/>
  <c r="W11" i="41"/>
  <c r="BW11" i="41" s="1"/>
  <c r="W14" i="41"/>
  <c r="BW14" i="41" s="1"/>
  <c r="W13" i="41"/>
  <c r="BW13" i="41" s="1"/>
  <c r="E44" i="46"/>
  <c r="BX9" i="41"/>
  <c r="BX7" i="41" s="1"/>
  <c r="X7" i="41"/>
  <c r="W10" i="41"/>
  <c r="BW10" i="41" s="1"/>
  <c r="W12" i="41"/>
  <c r="BW12" i="41" s="1"/>
  <c r="W9" i="41"/>
  <c r="L7" i="41"/>
  <c r="M13" i="47"/>
  <c r="N13" i="47" s="1"/>
  <c r="T14" i="47"/>
  <c r="S16" i="47"/>
  <c r="T16" i="47" s="1"/>
  <c r="BD6" i="37"/>
  <c r="BF6" i="37"/>
  <c r="E51" i="44" s="1"/>
  <c r="M14" i="47"/>
  <c r="C14" i="47" s="1"/>
  <c r="X14" i="47"/>
  <c r="W16" i="47"/>
  <c r="X16" i="47" s="1"/>
  <c r="P11" i="47"/>
  <c r="O13" i="47"/>
  <c r="P13" i="47" s="1"/>
  <c r="AY9" i="37"/>
  <c r="AJ11" i="56" s="1"/>
  <c r="AX11" i="56" s="1"/>
  <c r="BH9" i="37"/>
  <c r="AY12" i="37"/>
  <c r="AJ14" i="56" s="1"/>
  <c r="AX14" i="56" s="1"/>
  <c r="BH12" i="37"/>
  <c r="AY13" i="37"/>
  <c r="AJ15" i="56" s="1"/>
  <c r="AX15" i="56" s="1"/>
  <c r="BH13" i="37"/>
  <c r="U13" i="47"/>
  <c r="V13" i="47" s="1"/>
  <c r="V11" i="47"/>
  <c r="X11" i="47"/>
  <c r="W13" i="47"/>
  <c r="X13" i="47" s="1"/>
  <c r="Q11" i="47"/>
  <c r="BB14" i="37"/>
  <c r="BI6" i="37"/>
  <c r="BH10" i="37"/>
  <c r="AY10" i="37"/>
  <c r="AJ12" i="56" s="1"/>
  <c r="AX12" i="56" s="1"/>
  <c r="V14" i="47"/>
  <c r="U16" i="47"/>
  <c r="V16" i="47" s="1"/>
  <c r="P14" i="47"/>
  <c r="O16" i="47"/>
  <c r="P16" i="47" s="1"/>
  <c r="T11" i="47"/>
  <c r="S13" i="47"/>
  <c r="T13" i="47" s="1"/>
  <c r="AY11" i="37"/>
  <c r="AJ13" i="56" s="1"/>
  <c r="AX13" i="56" s="1"/>
  <c r="BH11" i="37"/>
  <c r="AZ6" i="37"/>
  <c r="AY8" i="37"/>
  <c r="AJ10" i="56" s="1"/>
  <c r="AX10" i="56" s="1"/>
  <c r="BH8" i="37"/>
  <c r="R14" i="47"/>
  <c r="Q16" i="47"/>
  <c r="R16" i="47" s="1"/>
  <c r="Y7" i="58" l="1"/>
  <c r="X5" i="58"/>
  <c r="AM16" i="56"/>
  <c r="BO14" i="37"/>
  <c r="BP14" i="37" s="1"/>
  <c r="L15" i="51"/>
  <c r="Y10" i="47"/>
  <c r="Z10" i="47" s="1"/>
  <c r="N16" i="56"/>
  <c r="F14" i="37"/>
  <c r="K16" i="39" s="1"/>
  <c r="R13" i="48"/>
  <c r="U36" i="46"/>
  <c r="BA16" i="56"/>
  <c r="R6" i="48"/>
  <c r="G36" i="46"/>
  <c r="BP7" i="37"/>
  <c r="K8" i="41"/>
  <c r="K10" i="47"/>
  <c r="L10" i="47" s="1"/>
  <c r="L3" i="47" s="1"/>
  <c r="B6" i="48" s="1"/>
  <c r="H6" i="48" s="1"/>
  <c r="L8" i="51"/>
  <c r="N9" i="56"/>
  <c r="BS7" i="37"/>
  <c r="F7" i="37"/>
  <c r="K9" i="39" s="1"/>
  <c r="CB8" i="56"/>
  <c r="AX8" i="56"/>
  <c r="AJ8" i="56"/>
  <c r="AK10" i="56"/>
  <c r="W7" i="41"/>
  <c r="BW9" i="41"/>
  <c r="BW7" i="41" s="1"/>
  <c r="E43" i="46"/>
  <c r="BK8" i="37"/>
  <c r="BM8" i="37" s="1"/>
  <c r="BG12" i="37"/>
  <c r="BK12" i="37"/>
  <c r="BM12" i="37" s="1"/>
  <c r="BG9" i="37"/>
  <c r="BK9" i="37"/>
  <c r="BM9" i="37" s="1"/>
  <c r="BG13" i="37"/>
  <c r="BK13" i="37"/>
  <c r="BM13" i="37" s="1"/>
  <c r="BG10" i="37"/>
  <c r="BK10" i="37"/>
  <c r="BM10" i="37" s="1"/>
  <c r="BG11" i="37"/>
  <c r="BK11" i="37"/>
  <c r="BM11" i="37" s="1"/>
  <c r="N14" i="47"/>
  <c r="M16" i="47"/>
  <c r="N16" i="47" s="1"/>
  <c r="H16" i="47" s="1"/>
  <c r="AY6" i="37"/>
  <c r="BG8" i="37"/>
  <c r="Q13" i="47"/>
  <c r="R13" i="47" s="1"/>
  <c r="R11" i="47"/>
  <c r="Y11" i="47"/>
  <c r="BB6" i="37"/>
  <c r="BH6" i="37"/>
  <c r="BS14" i="37" l="1"/>
  <c r="K15" i="41"/>
  <c r="Z7" i="58"/>
  <c r="Y5" i="58"/>
  <c r="AN16" i="56"/>
  <c r="BB16" i="56" s="1"/>
  <c r="AM15" i="41"/>
  <c r="M16" i="39"/>
  <c r="R16" i="39" s="1"/>
  <c r="S16" i="39" s="1"/>
  <c r="T16" i="39"/>
  <c r="Y16" i="56"/>
  <c r="P16" i="56"/>
  <c r="F16" i="56"/>
  <c r="BU7" i="37"/>
  <c r="BW7" i="37"/>
  <c r="W15" i="51"/>
  <c r="Z15" i="51" s="1"/>
  <c r="P15" i="51"/>
  <c r="F15" i="51"/>
  <c r="F6" i="48"/>
  <c r="BU14" i="37"/>
  <c r="BW14" i="37"/>
  <c r="W8" i="51"/>
  <c r="Z8" i="51" s="1"/>
  <c r="P8" i="51"/>
  <c r="F8" i="51"/>
  <c r="V8" i="41"/>
  <c r="O8" i="41"/>
  <c r="E8" i="41"/>
  <c r="V15" i="41"/>
  <c r="O15" i="41"/>
  <c r="E15" i="41"/>
  <c r="AN9" i="56"/>
  <c r="M9" i="39"/>
  <c r="R9" i="39" s="1"/>
  <c r="S9" i="39" s="1"/>
  <c r="AM8" i="41"/>
  <c r="T9" i="39"/>
  <c r="Y9" i="56"/>
  <c r="P9" i="56"/>
  <c r="F9" i="56"/>
  <c r="E50" i="44"/>
  <c r="AK8" i="56"/>
  <c r="AY10" i="56"/>
  <c r="BN8" i="37"/>
  <c r="E8" i="37" s="1"/>
  <c r="AL10" i="56"/>
  <c r="AZ10" i="56" s="1"/>
  <c r="D10" i="37"/>
  <c r="D12" i="39" s="1"/>
  <c r="AL12" i="56"/>
  <c r="AZ12" i="56" s="1"/>
  <c r="BA12" i="56" s="1"/>
  <c r="D12" i="37"/>
  <c r="D14" i="39" s="1"/>
  <c r="AL14" i="56"/>
  <c r="AZ14" i="56" s="1"/>
  <c r="BA14" i="56" s="1"/>
  <c r="D9" i="37"/>
  <c r="D11" i="39" s="1"/>
  <c r="AL11" i="56"/>
  <c r="AZ11" i="56" s="1"/>
  <c r="BA11" i="56" s="1"/>
  <c r="D11" i="37"/>
  <c r="D13" i="39" s="1"/>
  <c r="AL13" i="56"/>
  <c r="AZ13" i="56" s="1"/>
  <c r="BA13" i="56" s="1"/>
  <c r="D13" i="37"/>
  <c r="D15" i="39" s="1"/>
  <c r="AL15" i="56"/>
  <c r="AZ15" i="56" s="1"/>
  <c r="BA15" i="56" s="1"/>
  <c r="Z11" i="47"/>
  <c r="Z3" i="47" s="1"/>
  <c r="B13" i="48" s="1"/>
  <c r="C11" i="47"/>
  <c r="H13" i="47"/>
  <c r="D8" i="37"/>
  <c r="BN9" i="37"/>
  <c r="BM6" i="37"/>
  <c r="BN10" i="37"/>
  <c r="E10" i="37" s="1"/>
  <c r="BN13" i="37"/>
  <c r="BN12" i="37"/>
  <c r="BN11" i="37"/>
  <c r="BK6" i="37"/>
  <c r="BG6" i="37"/>
  <c r="Z5" i="58" l="1"/>
  <c r="BQ10" i="56"/>
  <c r="F13" i="48"/>
  <c r="O9" i="56"/>
  <c r="AA9" i="56" s="1"/>
  <c r="G57" i="46" s="1"/>
  <c r="O8" i="51"/>
  <c r="AA8" i="51" s="1"/>
  <c r="AB8" i="51" s="1"/>
  <c r="F8" i="53" s="1"/>
  <c r="G46" i="46"/>
  <c r="N9" i="39"/>
  <c r="O9" i="39" s="1"/>
  <c r="N8" i="41"/>
  <c r="Z8" i="41" s="1"/>
  <c r="BY8" i="41" s="1"/>
  <c r="CD9" i="56"/>
  <c r="CE9" i="56" s="1"/>
  <c r="G75" i="46" s="1"/>
  <c r="G56" i="46"/>
  <c r="Z9" i="56"/>
  <c r="AN8" i="41"/>
  <c r="AX8" i="41"/>
  <c r="AY8" i="41" s="1"/>
  <c r="CD16" i="56"/>
  <c r="CE16" i="56" s="1"/>
  <c r="U75" i="46" s="1"/>
  <c r="U56" i="46"/>
  <c r="Z16" i="56"/>
  <c r="BO8" i="37"/>
  <c r="L9" i="51" s="1"/>
  <c r="O16" i="56"/>
  <c r="AA16" i="56" s="1"/>
  <c r="U57" i="46" s="1"/>
  <c r="U46" i="46"/>
  <c r="N16" i="39"/>
  <c r="O16" i="39" s="1"/>
  <c r="N15" i="41"/>
  <c r="Z15" i="41" s="1"/>
  <c r="O15" i="51"/>
  <c r="AA15" i="51" s="1"/>
  <c r="AB15" i="51" s="1"/>
  <c r="F15" i="53" s="1"/>
  <c r="BB9" i="56"/>
  <c r="I6" i="48"/>
  <c r="J6" i="48" s="1"/>
  <c r="BV8" i="41"/>
  <c r="Y8" i="41"/>
  <c r="AX15" i="41"/>
  <c r="AY15" i="41" s="1"/>
  <c r="AN15" i="41"/>
  <c r="BV15" i="41"/>
  <c r="Y15" i="41"/>
  <c r="R9" i="48"/>
  <c r="M36" i="46"/>
  <c r="R7" i="48"/>
  <c r="I36" i="46"/>
  <c r="AZ8" i="56"/>
  <c r="AY8" i="56"/>
  <c r="BA10" i="56"/>
  <c r="AM13" i="56"/>
  <c r="AM14" i="56"/>
  <c r="AM12" i="56"/>
  <c r="AM11" i="56"/>
  <c r="AL8" i="56"/>
  <c r="N10" i="56"/>
  <c r="AM15" i="56"/>
  <c r="AM10" i="56"/>
  <c r="K13" i="48"/>
  <c r="J13" i="48"/>
  <c r="BP8" i="37"/>
  <c r="D6" i="37"/>
  <c r="D10" i="39"/>
  <c r="BO9" i="37"/>
  <c r="E9" i="37"/>
  <c r="K9" i="41"/>
  <c r="F8" i="37"/>
  <c r="BO12" i="37"/>
  <c r="E12" i="37"/>
  <c r="BO11" i="37"/>
  <c r="E11" i="37"/>
  <c r="BO13" i="37"/>
  <c r="E13" i="37"/>
  <c r="BN6" i="37"/>
  <c r="BO10" i="37"/>
  <c r="R15" i="53" l="1"/>
  <c r="R8" i="53"/>
  <c r="BQ8" i="56"/>
  <c r="BS8" i="37"/>
  <c r="BU8" i="37" s="1"/>
  <c r="M10" i="47"/>
  <c r="N10" i="47" s="1"/>
  <c r="P9" i="39"/>
  <c r="Q9" i="39" s="1"/>
  <c r="G48" i="46"/>
  <c r="AB9" i="56"/>
  <c r="CF9" i="56" s="1"/>
  <c r="AA15" i="41"/>
  <c r="BC15" i="41" s="1"/>
  <c r="BY15" i="41"/>
  <c r="BZ15" i="41" s="1"/>
  <c r="K6" i="48"/>
  <c r="BZ8" i="41"/>
  <c r="P16" i="39"/>
  <c r="Q16" i="39" s="1"/>
  <c r="AA8" i="41"/>
  <c r="BC8" i="41" s="1"/>
  <c r="U48" i="46"/>
  <c r="U47" i="46" s="1"/>
  <c r="AB16" i="56"/>
  <c r="CF16" i="56" s="1"/>
  <c r="R12" i="48"/>
  <c r="S36" i="46"/>
  <c r="R10" i="48"/>
  <c r="O36" i="46"/>
  <c r="R11" i="48"/>
  <c r="Q36" i="46"/>
  <c r="R8" i="48"/>
  <c r="K36" i="46"/>
  <c r="BA8" i="56"/>
  <c r="L13" i="48"/>
  <c r="M13" i="48"/>
  <c r="O13" i="48"/>
  <c r="P13" i="48" s="1"/>
  <c r="T13" i="48"/>
  <c r="AO16" i="56" s="1"/>
  <c r="BC16" i="56" s="1"/>
  <c r="BE16" i="56" s="1"/>
  <c r="Y10" i="56"/>
  <c r="P10" i="56"/>
  <c r="F10" i="56"/>
  <c r="S10" i="47"/>
  <c r="N13" i="56"/>
  <c r="O10" i="47"/>
  <c r="N11" i="56"/>
  <c r="Q10" i="47"/>
  <c r="N12" i="56"/>
  <c r="W10" i="47"/>
  <c r="N15" i="56"/>
  <c r="AM8" i="56"/>
  <c r="U10" i="47"/>
  <c r="V10" i="47" s="1"/>
  <c r="N14" i="56"/>
  <c r="BP12" i="37"/>
  <c r="BS12" i="37"/>
  <c r="BP9" i="37"/>
  <c r="BS9" i="37"/>
  <c r="BS11" i="37"/>
  <c r="BP11" i="37"/>
  <c r="BP10" i="37"/>
  <c r="BS10" i="37"/>
  <c r="BS13" i="37"/>
  <c r="BP13" i="37"/>
  <c r="L12" i="51"/>
  <c r="L13" i="51"/>
  <c r="K10" i="39"/>
  <c r="AN10" i="56" s="1"/>
  <c r="L10" i="51"/>
  <c r="W9" i="51"/>
  <c r="F9" i="51"/>
  <c r="P9" i="51"/>
  <c r="L11" i="51"/>
  <c r="L14" i="51"/>
  <c r="K12" i="41"/>
  <c r="F11" i="37"/>
  <c r="K13" i="39" s="1"/>
  <c r="AN13" i="56" s="1"/>
  <c r="V9" i="41"/>
  <c r="E9" i="41"/>
  <c r="O9" i="41"/>
  <c r="K11" i="41"/>
  <c r="F10" i="37"/>
  <c r="K12" i="39" s="1"/>
  <c r="AN12" i="56" s="1"/>
  <c r="K14" i="41"/>
  <c r="F13" i="37"/>
  <c r="K15" i="39" s="1"/>
  <c r="AN15" i="56" s="1"/>
  <c r="E6" i="37"/>
  <c r="K13" i="41"/>
  <c r="F12" i="37"/>
  <c r="K14" i="39" s="1"/>
  <c r="AN14" i="56" s="1"/>
  <c r="K10" i="41"/>
  <c r="F9" i="37"/>
  <c r="K11" i="39" s="1"/>
  <c r="AN11" i="56" s="1"/>
  <c r="BO6" i="37"/>
  <c r="V72" i="46" l="1"/>
  <c r="V71" i="46"/>
  <c r="V73" i="46"/>
  <c r="V66" i="46"/>
  <c r="V65" i="46"/>
  <c r="G47" i="46"/>
  <c r="BW8" i="37"/>
  <c r="E36" i="46"/>
  <c r="V47" i="46"/>
  <c r="V64" i="46"/>
  <c r="M6" i="48"/>
  <c r="L6" i="48"/>
  <c r="V75" i="46"/>
  <c r="CD10" i="56"/>
  <c r="CE10" i="56" s="1"/>
  <c r="I75" i="46" s="1"/>
  <c r="I56" i="46"/>
  <c r="BP6" i="37"/>
  <c r="AP12" i="56"/>
  <c r="BB12" i="56"/>
  <c r="AP15" i="56"/>
  <c r="BB15" i="56"/>
  <c r="AP11" i="56"/>
  <c r="BB11" i="56"/>
  <c r="AP13" i="56"/>
  <c r="BB13" i="56"/>
  <c r="AP10" i="56"/>
  <c r="BB10" i="56"/>
  <c r="BE10" i="56" s="1"/>
  <c r="AP14" i="56"/>
  <c r="BB14" i="56"/>
  <c r="Y13" i="56"/>
  <c r="O56" i="46" s="1"/>
  <c r="P13" i="56"/>
  <c r="F13" i="56"/>
  <c r="N8" i="56"/>
  <c r="Z10" i="56"/>
  <c r="I48" i="46" s="1"/>
  <c r="Y14" i="56"/>
  <c r="Q56" i="46" s="1"/>
  <c r="F14" i="56"/>
  <c r="P14" i="56"/>
  <c r="Y15" i="56"/>
  <c r="S56" i="46" s="1"/>
  <c r="F15" i="56"/>
  <c r="P15" i="56"/>
  <c r="Y12" i="56"/>
  <c r="M56" i="46" s="1"/>
  <c r="F12" i="56"/>
  <c r="P12" i="56"/>
  <c r="AP16" i="56"/>
  <c r="AN8" i="56"/>
  <c r="Y11" i="56"/>
  <c r="K56" i="46" s="1"/>
  <c r="F11" i="56"/>
  <c r="P11" i="56"/>
  <c r="L7" i="51"/>
  <c r="M11" i="39"/>
  <c r="R11" i="39" s="1"/>
  <c r="S11" i="39" s="1"/>
  <c r="O11" i="56" s="1"/>
  <c r="AA11" i="56" s="1"/>
  <c r="K57" i="46" s="1"/>
  <c r="T11" i="39"/>
  <c r="AM10" i="41"/>
  <c r="W13" i="51"/>
  <c r="Z13" i="51" s="1"/>
  <c r="F13" i="51"/>
  <c r="P13" i="51"/>
  <c r="M13" i="39"/>
  <c r="T13" i="39"/>
  <c r="AM12" i="41"/>
  <c r="Z9" i="51"/>
  <c r="T12" i="39"/>
  <c r="AM11" i="41"/>
  <c r="M12" i="39"/>
  <c r="M10" i="39"/>
  <c r="T10" i="39"/>
  <c r="AM9" i="41"/>
  <c r="K8" i="39"/>
  <c r="T8" i="39" s="1"/>
  <c r="P14" i="51"/>
  <c r="W14" i="51"/>
  <c r="Z14" i="51" s="1"/>
  <c r="F14" i="51"/>
  <c r="P11" i="51"/>
  <c r="F11" i="51"/>
  <c r="W11" i="51"/>
  <c r="Z11" i="51" s="1"/>
  <c r="W12" i="51"/>
  <c r="Z12" i="51" s="1"/>
  <c r="F12" i="51"/>
  <c r="P12" i="51"/>
  <c r="T15" i="39"/>
  <c r="M15" i="39"/>
  <c r="AM14" i="41"/>
  <c r="W10" i="51"/>
  <c r="Z10" i="51" s="1"/>
  <c r="F10" i="51"/>
  <c r="P10" i="51"/>
  <c r="M14" i="39"/>
  <c r="R14" i="39" s="1"/>
  <c r="S14" i="39" s="1"/>
  <c r="O14" i="56" s="1"/>
  <c r="AA14" i="56" s="1"/>
  <c r="Q57" i="46" s="1"/>
  <c r="AM13" i="41"/>
  <c r="T14" i="39"/>
  <c r="F6" i="37"/>
  <c r="F5" i="37" s="1"/>
  <c r="V10" i="41"/>
  <c r="O10" i="41"/>
  <c r="E10" i="41"/>
  <c r="V13" i="41"/>
  <c r="O13" i="41"/>
  <c r="E13" i="41"/>
  <c r="BV9" i="41"/>
  <c r="Y9" i="41"/>
  <c r="BW12" i="37"/>
  <c r="BU12" i="37"/>
  <c r="V14" i="41"/>
  <c r="E14" i="41"/>
  <c r="O14" i="41"/>
  <c r="V11" i="41"/>
  <c r="O11" i="41"/>
  <c r="E11" i="41"/>
  <c r="V12" i="41"/>
  <c r="O12" i="41"/>
  <c r="E12" i="41"/>
  <c r="BW13" i="37"/>
  <c r="BU13" i="37"/>
  <c r="BU9" i="37"/>
  <c r="BW9" i="37"/>
  <c r="K7" i="41"/>
  <c r="BU11" i="37"/>
  <c r="BW11" i="37"/>
  <c r="BS6" i="37"/>
  <c r="E57" i="44" s="1"/>
  <c r="BW10" i="37"/>
  <c r="BU10" i="37"/>
  <c r="H75" i="46" l="1"/>
  <c r="H62" i="46"/>
  <c r="H73" i="46"/>
  <c r="H60" i="46"/>
  <c r="H66" i="46"/>
  <c r="H65" i="46"/>
  <c r="H64" i="46"/>
  <c r="H59" i="46"/>
  <c r="H58" i="46"/>
  <c r="H61" i="46"/>
  <c r="H72" i="46"/>
  <c r="H51" i="46"/>
  <c r="H50" i="46"/>
  <c r="H52" i="46"/>
  <c r="H53" i="46"/>
  <c r="H49" i="46"/>
  <c r="H54" i="46"/>
  <c r="H55" i="46"/>
  <c r="H56" i="46"/>
  <c r="H57" i="46"/>
  <c r="H48" i="46"/>
  <c r="H47" i="46"/>
  <c r="BE12" i="56"/>
  <c r="BE15" i="56"/>
  <c r="BE14" i="56"/>
  <c r="BE13" i="56"/>
  <c r="BE11" i="56"/>
  <c r="T6" i="48"/>
  <c r="AO9" i="56" s="1"/>
  <c r="O6" i="48"/>
  <c r="N5" i="48"/>
  <c r="D58" i="44"/>
  <c r="D59" i="44"/>
  <c r="M8" i="39"/>
  <c r="E49" i="44"/>
  <c r="E52" i="44" s="1"/>
  <c r="E53" i="44" s="1"/>
  <c r="E54" i="44" s="1"/>
  <c r="BF16" i="56"/>
  <c r="Z11" i="56"/>
  <c r="K48" i="46" s="1"/>
  <c r="CD11" i="56"/>
  <c r="Z14" i="56"/>
  <c r="Q48" i="46" s="1"/>
  <c r="Q47" i="46" s="1"/>
  <c r="CD14" i="56"/>
  <c r="CE14" i="56" s="1"/>
  <c r="Q75" i="46" s="1"/>
  <c r="Z12" i="56"/>
  <c r="M48" i="46" s="1"/>
  <c r="CD12" i="56"/>
  <c r="CE12" i="56" s="1"/>
  <c r="Z13" i="56"/>
  <c r="O48" i="46" s="1"/>
  <c r="CD13" i="56"/>
  <c r="CE13" i="56" s="1"/>
  <c r="O75" i="46" s="1"/>
  <c r="Z15" i="56"/>
  <c r="S48" i="46" s="1"/>
  <c r="CD15" i="56"/>
  <c r="CE15" i="56" s="1"/>
  <c r="S75" i="46" s="1"/>
  <c r="BB8" i="56"/>
  <c r="P8" i="56"/>
  <c r="F8" i="56"/>
  <c r="Y8" i="56"/>
  <c r="S13" i="48"/>
  <c r="U13" i="48"/>
  <c r="P7" i="51"/>
  <c r="F7" i="51"/>
  <c r="O7" i="41"/>
  <c r="AX9" i="41"/>
  <c r="AM7" i="41"/>
  <c r="AN9" i="41"/>
  <c r="R12" i="39"/>
  <c r="S12" i="39" s="1"/>
  <c r="O12" i="56" s="1"/>
  <c r="AA12" i="56" s="1"/>
  <c r="AX13" i="41"/>
  <c r="AY13" i="41" s="1"/>
  <c r="AN13" i="41"/>
  <c r="AX11" i="41"/>
  <c r="AY11" i="41" s="1"/>
  <c r="AN11" i="41"/>
  <c r="O10" i="51"/>
  <c r="AA10" i="51" s="1"/>
  <c r="AB10" i="51" s="1"/>
  <c r="N11" i="39"/>
  <c r="O11" i="39" s="1"/>
  <c r="K46" i="46"/>
  <c r="N10" i="41"/>
  <c r="Z10" i="41" s="1"/>
  <c r="AX10" i="41"/>
  <c r="AY10" i="41" s="1"/>
  <c r="AN10" i="41"/>
  <c r="Z7" i="51"/>
  <c r="W7" i="51"/>
  <c r="O13" i="51"/>
  <c r="AA13" i="51" s="1"/>
  <c r="AB13" i="51" s="1"/>
  <c r="Q46" i="46"/>
  <c r="N13" i="41"/>
  <c r="Z13" i="41" s="1"/>
  <c r="N14" i="39"/>
  <c r="O14" i="39" s="1"/>
  <c r="AX12" i="41"/>
  <c r="AY12" i="41" s="1"/>
  <c r="AN12" i="41"/>
  <c r="R15" i="39"/>
  <c r="S15" i="39" s="1"/>
  <c r="O15" i="56" s="1"/>
  <c r="AA15" i="56" s="1"/>
  <c r="S57" i="46" s="1"/>
  <c r="R13" i="39"/>
  <c r="S13" i="39" s="1"/>
  <c r="O13" i="56" s="1"/>
  <c r="AA13" i="56" s="1"/>
  <c r="O57" i="46" s="1"/>
  <c r="AX14" i="41"/>
  <c r="AY14" i="41" s="1"/>
  <c r="AN14" i="41"/>
  <c r="R10" i="39"/>
  <c r="E7" i="41"/>
  <c r="BV14" i="41"/>
  <c r="Y14" i="41"/>
  <c r="BV13" i="41"/>
  <c r="Y13" i="41"/>
  <c r="E37" i="46"/>
  <c r="E45" i="46"/>
  <c r="BV11" i="41"/>
  <c r="Y11" i="41"/>
  <c r="V7" i="41"/>
  <c r="BV12" i="41"/>
  <c r="Y12" i="41"/>
  <c r="BV10" i="41"/>
  <c r="Y10" i="41"/>
  <c r="BW6" i="37"/>
  <c r="BU6" i="37"/>
  <c r="Q13" i="48"/>
  <c r="K47" i="46" l="1"/>
  <c r="R71" i="46"/>
  <c r="R66" i="46"/>
  <c r="R72" i="46"/>
  <c r="R65" i="46"/>
  <c r="R73" i="46"/>
  <c r="AB14" i="56"/>
  <c r="CF14" i="56" s="1"/>
  <c r="P6" i="48"/>
  <c r="Q6" i="48" s="1"/>
  <c r="BC9" i="56"/>
  <c r="BE9" i="56" s="1"/>
  <c r="AP9" i="56"/>
  <c r="AP8" i="56" s="1"/>
  <c r="AO8" i="56"/>
  <c r="S47" i="46"/>
  <c r="O47" i="46"/>
  <c r="S10" i="39"/>
  <c r="O10" i="56" s="1"/>
  <c r="O8" i="56" s="1"/>
  <c r="R8" i="39"/>
  <c r="AB11" i="56"/>
  <c r="BF11" i="56" s="1"/>
  <c r="M75" i="46"/>
  <c r="AB12" i="56"/>
  <c r="CF12" i="56" s="1"/>
  <c r="M57" i="46"/>
  <c r="M47" i="46" s="1"/>
  <c r="AB13" i="56"/>
  <c r="CF13" i="56" s="1"/>
  <c r="Z8" i="56"/>
  <c r="AB15" i="56"/>
  <c r="CF15" i="56" s="1"/>
  <c r="CE11" i="56"/>
  <c r="CD8" i="56"/>
  <c r="BF14" i="56"/>
  <c r="P11" i="39"/>
  <c r="Q11" i="39" s="1"/>
  <c r="F10" i="53"/>
  <c r="N13" i="39"/>
  <c r="O12" i="51"/>
  <c r="AA12" i="51" s="1"/>
  <c r="AB12" i="51" s="1"/>
  <c r="O46" i="46"/>
  <c r="N12" i="41"/>
  <c r="Z12" i="41" s="1"/>
  <c r="N12" i="39"/>
  <c r="O11" i="51"/>
  <c r="AA11" i="51" s="1"/>
  <c r="AB11" i="51" s="1"/>
  <c r="N11" i="41"/>
  <c r="Z11" i="41" s="1"/>
  <c r="AA11" i="41" s="1"/>
  <c r="M46" i="46"/>
  <c r="BY10" i="41"/>
  <c r="BZ10" i="41" s="1"/>
  <c r="S46" i="46"/>
  <c r="O14" i="51"/>
  <c r="AA14" i="51" s="1"/>
  <c r="AB14" i="51" s="1"/>
  <c r="N14" i="41"/>
  <c r="Z14" i="41" s="1"/>
  <c r="N15" i="39"/>
  <c r="AN7" i="41"/>
  <c r="BY13" i="41"/>
  <c r="BZ13" i="41" s="1"/>
  <c r="P14" i="39"/>
  <c r="Q14" i="39" s="1"/>
  <c r="AX7" i="41"/>
  <c r="AY9" i="41"/>
  <c r="F13" i="53"/>
  <c r="AA13" i="41"/>
  <c r="AA10" i="41"/>
  <c r="Y7" i="41"/>
  <c r="E31" i="46"/>
  <c r="BV7" i="41"/>
  <c r="P66" i="46" l="1"/>
  <c r="P65" i="46"/>
  <c r="P73" i="46"/>
  <c r="P72" i="46"/>
  <c r="L72" i="46"/>
  <c r="L73" i="46"/>
  <c r="L58" i="46"/>
  <c r="L66" i="46"/>
  <c r="L59" i="46"/>
  <c r="L62" i="46"/>
  <c r="L60" i="46"/>
  <c r="L61" i="46"/>
  <c r="L65" i="46"/>
  <c r="L71" i="46"/>
  <c r="L51" i="46"/>
  <c r="L50" i="46"/>
  <c r="L52" i="46"/>
  <c r="L53" i="46"/>
  <c r="L49" i="46"/>
  <c r="L55" i="46"/>
  <c r="L54" i="46"/>
  <c r="L56" i="46"/>
  <c r="L57" i="46"/>
  <c r="N72" i="46"/>
  <c r="N65" i="46"/>
  <c r="N71" i="46"/>
  <c r="N66" i="46"/>
  <c r="N73" i="46"/>
  <c r="L48" i="46"/>
  <c r="T72" i="46"/>
  <c r="T73" i="46"/>
  <c r="T66" i="46"/>
  <c r="T65" i="46"/>
  <c r="R10" i="53"/>
  <c r="R13" i="53"/>
  <c r="S8" i="39"/>
  <c r="I46" i="46"/>
  <c r="E46" i="46" s="1"/>
  <c r="N9" i="41"/>
  <c r="Z9" i="41" s="1"/>
  <c r="AA10" i="56"/>
  <c r="I57" i="46" s="1"/>
  <c r="BC8" i="56"/>
  <c r="U6" i="48"/>
  <c r="S6" i="48"/>
  <c r="O9" i="51"/>
  <c r="O7" i="51" s="1"/>
  <c r="N10" i="39"/>
  <c r="O10" i="39" s="1"/>
  <c r="BF13" i="56"/>
  <c r="CF11" i="56"/>
  <c r="K75" i="46"/>
  <c r="BF15" i="56"/>
  <c r="BF12" i="56"/>
  <c r="CE8" i="56"/>
  <c r="F11" i="53"/>
  <c r="BY12" i="41"/>
  <c r="BZ12" i="41" s="1"/>
  <c r="O15" i="39"/>
  <c r="P15" i="39"/>
  <c r="Q15" i="39" s="1"/>
  <c r="F14" i="53"/>
  <c r="F12" i="53"/>
  <c r="O12" i="39"/>
  <c r="P12" i="39"/>
  <c r="Q12" i="39" s="1"/>
  <c r="O13" i="39"/>
  <c r="P13" i="39"/>
  <c r="Q13" i="39" s="1"/>
  <c r="BY14" i="41"/>
  <c r="BZ14" i="41" s="1"/>
  <c r="AA12" i="41"/>
  <c r="BC12" i="41" s="1"/>
  <c r="R75" i="46"/>
  <c r="AY7" i="41"/>
  <c r="AA14" i="41"/>
  <c r="BC14" i="41" s="1"/>
  <c r="BY11" i="41"/>
  <c r="BZ11" i="41" s="1"/>
  <c r="BC11" i="41"/>
  <c r="BC13" i="41"/>
  <c r="BC10" i="41"/>
  <c r="I47" i="46" l="1"/>
  <c r="J57" i="46" s="1"/>
  <c r="R14" i="53"/>
  <c r="R11" i="53"/>
  <c r="R12" i="53"/>
  <c r="AB10" i="56"/>
  <c r="CF10" i="56" s="1"/>
  <c r="AA8" i="56"/>
  <c r="N7" i="41"/>
  <c r="AA9" i="51"/>
  <c r="BF9" i="56"/>
  <c r="BE8" i="56"/>
  <c r="E21" i="44" s="1"/>
  <c r="P10" i="39"/>
  <c r="Q10" i="39" s="1"/>
  <c r="Q8" i="39" s="1"/>
  <c r="N8" i="39"/>
  <c r="N75" i="46"/>
  <c r="BF10" i="56"/>
  <c r="AB8" i="56"/>
  <c r="T47" i="46"/>
  <c r="T64" i="46"/>
  <c r="P75" i="46"/>
  <c r="P47" i="46"/>
  <c r="P64" i="46"/>
  <c r="L47" i="46"/>
  <c r="O8" i="39"/>
  <c r="L64" i="46"/>
  <c r="N47" i="46"/>
  <c r="L75" i="46"/>
  <c r="BY9" i="41"/>
  <c r="Z7" i="41"/>
  <c r="AA9" i="41"/>
  <c r="R47" i="46"/>
  <c r="N64" i="46"/>
  <c r="AA7" i="51"/>
  <c r="AB9" i="51"/>
  <c r="R64" i="46"/>
  <c r="T75" i="46"/>
  <c r="E47" i="46" l="1"/>
  <c r="J60" i="46"/>
  <c r="E60" i="46" s="1"/>
  <c r="C60" i="46" s="1"/>
  <c r="J62" i="46"/>
  <c r="E62" i="46" s="1"/>
  <c r="C62" i="46" s="1"/>
  <c r="J59" i="46"/>
  <c r="E59" i="46" s="1"/>
  <c r="C59" i="46" s="1"/>
  <c r="J58" i="46"/>
  <c r="J61" i="46"/>
  <c r="E61" i="46" s="1"/>
  <c r="C61" i="46" s="1"/>
  <c r="J52" i="46"/>
  <c r="E52" i="46" s="1"/>
  <c r="C52" i="46" s="1"/>
  <c r="J51" i="46"/>
  <c r="E51" i="46" s="1"/>
  <c r="C51" i="46" s="1"/>
  <c r="J50" i="46"/>
  <c r="E50" i="46" s="1"/>
  <c r="C50" i="46" s="1"/>
  <c r="J53" i="46"/>
  <c r="E53" i="46" s="1"/>
  <c r="C53" i="46" s="1"/>
  <c r="J49" i="46"/>
  <c r="E49" i="46" s="1"/>
  <c r="C49" i="46" s="1"/>
  <c r="J55" i="46"/>
  <c r="E55" i="46" s="1"/>
  <c r="C55" i="46" s="1"/>
  <c r="J54" i="46"/>
  <c r="E54" i="46" s="1"/>
  <c r="J48" i="46"/>
  <c r="E48" i="46" s="1"/>
  <c r="C48" i="46" s="1"/>
  <c r="J56" i="46"/>
  <c r="E56" i="46" s="1"/>
  <c r="C56" i="46" s="1"/>
  <c r="P8" i="39"/>
  <c r="E58" i="46"/>
  <c r="C58" i="46" s="1"/>
  <c r="CF8" i="56"/>
  <c r="E20" i="44"/>
  <c r="AB5" i="56"/>
  <c r="BJ5" i="56"/>
  <c r="BI5" i="56"/>
  <c r="BD5" i="56"/>
  <c r="CE5" i="56"/>
  <c r="AC10" i="56"/>
  <c r="BF8" i="56"/>
  <c r="BF5" i="56" s="1"/>
  <c r="AC16" i="56"/>
  <c r="AC9" i="56"/>
  <c r="AC11" i="56"/>
  <c r="AC12" i="56"/>
  <c r="AC15" i="56"/>
  <c r="AC13" i="56"/>
  <c r="AC14" i="56"/>
  <c r="BY7" i="41"/>
  <c r="BZ9" i="41"/>
  <c r="BC9" i="41"/>
  <c r="AA7" i="41"/>
  <c r="AB9" i="41" s="1"/>
  <c r="BJ9" i="41" s="1"/>
  <c r="BK9" i="41" s="1"/>
  <c r="F9" i="53"/>
  <c r="AB7" i="51"/>
  <c r="AC9" i="51" s="1"/>
  <c r="G9" i="53" s="1"/>
  <c r="E57" i="46"/>
  <c r="C57" i="46" s="1"/>
  <c r="C54" i="46" l="1"/>
  <c r="C73" i="46"/>
  <c r="C72" i="46"/>
  <c r="C66" i="46"/>
  <c r="C64" i="46"/>
  <c r="F7" i="53"/>
  <c r="R9" i="53"/>
  <c r="R7" i="53" s="1"/>
  <c r="F27" i="44"/>
  <c r="F21" i="44"/>
  <c r="F37" i="44"/>
  <c r="AC8" i="56"/>
  <c r="BO9" i="41"/>
  <c r="M9" i="53"/>
  <c r="BC7" i="41"/>
  <c r="BL9" i="41"/>
  <c r="CB9" i="41" s="1"/>
  <c r="CD9" i="41" s="1"/>
  <c r="AC15" i="51"/>
  <c r="G15" i="53" s="1"/>
  <c r="AC8" i="51"/>
  <c r="AC13" i="51"/>
  <c r="G13" i="53" s="1"/>
  <c r="AC10" i="51"/>
  <c r="G10" i="53" s="1"/>
  <c r="AC11" i="51"/>
  <c r="G11" i="53" s="1"/>
  <c r="AC14" i="51"/>
  <c r="G14" i="53" s="1"/>
  <c r="AC12" i="51"/>
  <c r="G12" i="53" s="1"/>
  <c r="BH3" i="41"/>
  <c r="BB3" i="41"/>
  <c r="AB8" i="41"/>
  <c r="AB13" i="41"/>
  <c r="BJ13" i="41" s="1"/>
  <c r="BK13" i="41" s="1"/>
  <c r="AB10" i="41"/>
  <c r="BJ10" i="41" s="1"/>
  <c r="BK10" i="41" s="1"/>
  <c r="BK3" i="41"/>
  <c r="AB11" i="41"/>
  <c r="BJ11" i="41" s="1"/>
  <c r="BK11" i="41" s="1"/>
  <c r="AB15" i="41"/>
  <c r="BJ15" i="41" s="1"/>
  <c r="BK15" i="41" s="1"/>
  <c r="AB14" i="41"/>
  <c r="BJ14" i="41" s="1"/>
  <c r="BK14" i="41" s="1"/>
  <c r="BE3" i="41"/>
  <c r="AB12" i="41"/>
  <c r="BJ12" i="41" s="1"/>
  <c r="BK12" i="41" s="1"/>
  <c r="BD3" i="41"/>
  <c r="AY3" i="41"/>
  <c r="BI3" i="41"/>
  <c r="BZ7" i="41"/>
  <c r="J66" i="46"/>
  <c r="J64" i="46"/>
  <c r="J47" i="46"/>
  <c r="E35" i="46"/>
  <c r="D8" i="39"/>
  <c r="D5" i="39" s="1"/>
  <c r="I11" i="39"/>
  <c r="X10" i="47"/>
  <c r="X3" i="47" s="1"/>
  <c r="B12" i="48" s="1"/>
  <c r="I10" i="39"/>
  <c r="I8" i="39"/>
  <c r="R10" i="47"/>
  <c r="R3" i="47" s="1"/>
  <c r="B9" i="48" s="1"/>
  <c r="I12" i="39"/>
  <c r="I13" i="39"/>
  <c r="T10" i="47"/>
  <c r="T3" i="47" s="1"/>
  <c r="B10" i="48" s="1"/>
  <c r="I14" i="39"/>
  <c r="I15" i="39"/>
  <c r="F9" i="48" l="1"/>
  <c r="F10" i="48"/>
  <c r="F12" i="48"/>
  <c r="AB7" i="39"/>
  <c r="O9" i="53"/>
  <c r="Q9" i="53" s="1"/>
  <c r="S9" i="53" s="1"/>
  <c r="C47" i="46"/>
  <c r="BJ8" i="41"/>
  <c r="AB7" i="41"/>
  <c r="M12" i="53"/>
  <c r="BO12" i="41"/>
  <c r="BL12" i="41"/>
  <c r="CB12" i="41" s="1"/>
  <c r="CD12" i="41" s="1"/>
  <c r="CG9" i="41"/>
  <c r="CE9" i="41"/>
  <c r="M14" i="53"/>
  <c r="BO14" i="41"/>
  <c r="BL14" i="41"/>
  <c r="CB14" i="41" s="1"/>
  <c r="CD14" i="41" s="1"/>
  <c r="BC3" i="41"/>
  <c r="BZ3" i="41"/>
  <c r="AC7" i="51"/>
  <c r="G8" i="53"/>
  <c r="G7" i="53" s="1"/>
  <c r="E75" i="46"/>
  <c r="C75" i="46" s="1"/>
  <c r="J75" i="46"/>
  <c r="M11" i="53"/>
  <c r="BO11" i="41"/>
  <c r="BL11" i="41"/>
  <c r="CB11" i="41" s="1"/>
  <c r="CD11" i="41" s="1"/>
  <c r="M10" i="53"/>
  <c r="BL10" i="41"/>
  <c r="CB10" i="41" s="1"/>
  <c r="CD10" i="41" s="1"/>
  <c r="BO10" i="41"/>
  <c r="F20" i="44"/>
  <c r="M15" i="53"/>
  <c r="BL15" i="41"/>
  <c r="CB15" i="41" s="1"/>
  <c r="CD15" i="41" s="1"/>
  <c r="BO15" i="41"/>
  <c r="M13" i="53"/>
  <c r="BL13" i="41"/>
  <c r="CB13" i="41" s="1"/>
  <c r="CD13" i="41" s="1"/>
  <c r="BO13" i="41"/>
  <c r="Z7" i="39"/>
  <c r="V7" i="39"/>
  <c r="X7" i="39"/>
  <c r="AD7" i="39"/>
  <c r="V3" i="47"/>
  <c r="B11" i="48" s="1"/>
  <c r="H9" i="48"/>
  <c r="O9" i="48" s="1"/>
  <c r="P9" i="48" s="1"/>
  <c r="P10" i="47"/>
  <c r="H12" i="48"/>
  <c r="O12" i="48" s="1"/>
  <c r="P12" i="48" s="1"/>
  <c r="H10" i="48"/>
  <c r="O10" i="48" s="1"/>
  <c r="P10" i="48" s="1"/>
  <c r="F11" i="48" l="1"/>
  <c r="I12" i="48"/>
  <c r="J12" i="48" s="1"/>
  <c r="I9" i="48"/>
  <c r="J9" i="48" s="1"/>
  <c r="I10" i="48"/>
  <c r="J10" i="48" s="1"/>
  <c r="P3" i="47"/>
  <c r="B8" i="48" s="1"/>
  <c r="H10" i="47"/>
  <c r="H3" i="47" s="1"/>
  <c r="O14" i="53"/>
  <c r="Q14" i="53" s="1"/>
  <c r="S14" i="53" s="1"/>
  <c r="O13" i="53"/>
  <c r="Q13" i="53" s="1"/>
  <c r="S13" i="53" s="1"/>
  <c r="O10" i="53"/>
  <c r="Q10" i="53" s="1"/>
  <c r="S10" i="53" s="1"/>
  <c r="O15" i="53"/>
  <c r="Q15" i="53" s="1"/>
  <c r="S15" i="53" s="1"/>
  <c r="O11" i="53"/>
  <c r="Q11" i="53" s="1"/>
  <c r="S11" i="53" s="1"/>
  <c r="O12" i="53"/>
  <c r="Q12" i="53" s="1"/>
  <c r="S12" i="53" s="1"/>
  <c r="CE13" i="41"/>
  <c r="CG13" i="41"/>
  <c r="CE10" i="41"/>
  <c r="CG10" i="41"/>
  <c r="CE15" i="41"/>
  <c r="CG15" i="41"/>
  <c r="BJ7" i="41"/>
  <c r="BK8" i="41"/>
  <c r="CG14" i="41"/>
  <c r="CE14" i="41"/>
  <c r="CE12" i="41"/>
  <c r="CG12" i="41"/>
  <c r="CG11" i="41"/>
  <c r="CE11" i="41"/>
  <c r="H11" i="48"/>
  <c r="O11" i="48" s="1"/>
  <c r="P11" i="48" s="1"/>
  <c r="F8" i="48" l="1"/>
  <c r="K9" i="48"/>
  <c r="K12" i="48"/>
  <c r="M12" i="48" s="1"/>
  <c r="S9" i="48"/>
  <c r="U9" i="48"/>
  <c r="S11" i="48"/>
  <c r="U11" i="48"/>
  <c r="S10" i="48"/>
  <c r="U10" i="48"/>
  <c r="S12" i="48"/>
  <c r="U12" i="48"/>
  <c r="Q11" i="48"/>
  <c r="K10" i="48"/>
  <c r="L10" i="48" s="1"/>
  <c r="I11" i="48"/>
  <c r="J11" i="48" s="1"/>
  <c r="H8" i="48"/>
  <c r="O8" i="48" s="1"/>
  <c r="P8" i="48" s="1"/>
  <c r="M8" i="53"/>
  <c r="O8" i="53" s="1"/>
  <c r="O7" i="53" s="1"/>
  <c r="BL8" i="41"/>
  <c r="BO8" i="41"/>
  <c r="BO7" i="41" s="1"/>
  <c r="L9" i="48"/>
  <c r="M9" i="48"/>
  <c r="Q12" i="48"/>
  <c r="C10" i="47"/>
  <c r="Q9" i="48"/>
  <c r="Q10" i="48"/>
  <c r="L12" i="48" l="1"/>
  <c r="K11" i="48"/>
  <c r="L11" i="48" s="1"/>
  <c r="M10" i="48"/>
  <c r="Q8" i="48"/>
  <c r="S8" i="48"/>
  <c r="U8" i="48"/>
  <c r="I8" i="48"/>
  <c r="CB8" i="41"/>
  <c r="BL7" i="41"/>
  <c r="BL3" i="41" s="1"/>
  <c r="M7" i="53"/>
  <c r="AN7" i="53" s="1"/>
  <c r="N3" i="47"/>
  <c r="B7" i="48" s="1"/>
  <c r="M11" i="48" l="1"/>
  <c r="F7" i="48"/>
  <c r="J8" i="48"/>
  <c r="K8" i="48"/>
  <c r="H7" i="48"/>
  <c r="O7" i="48" s="1"/>
  <c r="Q8" i="53"/>
  <c r="S8" i="53" s="1"/>
  <c r="CB7" i="41"/>
  <c r="CB3" i="41" s="1"/>
  <c r="CD8" i="41"/>
  <c r="B5" i="48"/>
  <c r="P7" i="48" l="1"/>
  <c r="U7" i="48" s="1"/>
  <c r="U5" i="48" s="1"/>
  <c r="T5" i="48"/>
  <c r="I7" i="48"/>
  <c r="M8" i="48"/>
  <c r="L8" i="48"/>
  <c r="CE8" i="41"/>
  <c r="CD7" i="41"/>
  <c r="CG8" i="41"/>
  <c r="CG7" i="41" s="1"/>
  <c r="Q7" i="53"/>
  <c r="S7" i="53" s="1"/>
  <c r="P5" i="48"/>
  <c r="Q7" i="48"/>
  <c r="Q14" i="48" s="1"/>
  <c r="O5" i="48"/>
  <c r="H5" i="48"/>
  <c r="S7" i="48" l="1"/>
  <c r="Q5" i="48"/>
  <c r="V5" i="48"/>
  <c r="Y11" i="53"/>
  <c r="Z11" i="53" s="1"/>
  <c r="CG4" i="41"/>
  <c r="Y14" i="53"/>
  <c r="Z14" i="53" s="1"/>
  <c r="U9" i="53"/>
  <c r="V9" i="53" s="1"/>
  <c r="Y13" i="53"/>
  <c r="Z13" i="53" s="1"/>
  <c r="U14" i="53"/>
  <c r="V14" i="53" s="1"/>
  <c r="U10" i="53"/>
  <c r="V10" i="53" s="1"/>
  <c r="U8" i="53"/>
  <c r="V8" i="53" s="1"/>
  <c r="Y10" i="53"/>
  <c r="Z10" i="53" s="1"/>
  <c r="Y9" i="53"/>
  <c r="Z9" i="53" s="1"/>
  <c r="U12" i="53"/>
  <c r="V12" i="53" s="1"/>
  <c r="Y12" i="53"/>
  <c r="Z12" i="53" s="1"/>
  <c r="U13" i="53"/>
  <c r="V13" i="53" s="1"/>
  <c r="Y8" i="53"/>
  <c r="Z8" i="53" s="1"/>
  <c r="U11" i="53"/>
  <c r="V11" i="53" s="1"/>
  <c r="Y15" i="53"/>
  <c r="Z15" i="53" s="1"/>
  <c r="U15" i="53"/>
  <c r="V15" i="53" s="1"/>
  <c r="CD3" i="41"/>
  <c r="J7" i="48"/>
  <c r="I5" i="48"/>
  <c r="K7" i="48"/>
  <c r="AJ9" i="53" l="1"/>
  <c r="AJ10" i="53"/>
  <c r="AJ13" i="53"/>
  <c r="AJ15" i="53"/>
  <c r="AJ11" i="53"/>
  <c r="AG14" i="53"/>
  <c r="AG12" i="53"/>
  <c r="AG8" i="53"/>
  <c r="AA14" i="53"/>
  <c r="AB14" i="53"/>
  <c r="AA12" i="53"/>
  <c r="AB12" i="53"/>
  <c r="AA9" i="53"/>
  <c r="AB9" i="53"/>
  <c r="AA10" i="53"/>
  <c r="AB10" i="53"/>
  <c r="AA13" i="53"/>
  <c r="AB13" i="53"/>
  <c r="AA15" i="53"/>
  <c r="AB15" i="53"/>
  <c r="AA11" i="53"/>
  <c r="AB11" i="53"/>
  <c r="W11" i="53"/>
  <c r="W13" i="53"/>
  <c r="AA8" i="53"/>
  <c r="Z7" i="53"/>
  <c r="W10" i="53"/>
  <c r="W12" i="53"/>
  <c r="W8" i="53"/>
  <c r="V7" i="53"/>
  <c r="W14" i="53"/>
  <c r="W9" i="53"/>
  <c r="W15" i="53"/>
  <c r="M7" i="48"/>
  <c r="K5" i="48"/>
  <c r="L7" i="48"/>
  <c r="AJ7" i="53" l="1"/>
  <c r="AH8" i="53"/>
  <c r="AT8" i="53" s="1"/>
  <c r="BO9" i="56"/>
  <c r="G71" i="46" s="1"/>
  <c r="H71" i="46" s="1"/>
  <c r="AH14" i="53"/>
  <c r="AT14" i="53" s="1"/>
  <c r="BO15" i="56"/>
  <c r="S71" i="46" s="1"/>
  <c r="T71" i="46" s="1"/>
  <c r="AH12" i="53"/>
  <c r="AT12" i="53" s="1"/>
  <c r="BO13" i="56"/>
  <c r="O71" i="46" s="1"/>
  <c r="AG7" i="53"/>
  <c r="AL7" i="53" s="1"/>
  <c r="AA7" i="53"/>
  <c r="W7" i="53"/>
  <c r="AX14" i="53" l="1"/>
  <c r="AY14" i="53" s="1"/>
  <c r="AZ14" i="53" s="1"/>
  <c r="AU14" i="53"/>
  <c r="AX12" i="53"/>
  <c r="AY12" i="53" s="1"/>
  <c r="AZ12" i="53" s="1"/>
  <c r="AU12" i="53"/>
  <c r="E71" i="46"/>
  <c r="C71" i="46" s="1"/>
  <c r="P71" i="46"/>
  <c r="AX8" i="53"/>
  <c r="AU8" i="53"/>
  <c r="AK14" i="53"/>
  <c r="AK12" i="53"/>
  <c r="AK8" i="53"/>
  <c r="AK9" i="53"/>
  <c r="AK10" i="53"/>
  <c r="AK13" i="53"/>
  <c r="AK15" i="53"/>
  <c r="AK11" i="53"/>
  <c r="AI12" i="53"/>
  <c r="AI14" i="53"/>
  <c r="AI8" i="53"/>
  <c r="AH7" i="53"/>
  <c r="BO8" i="56"/>
  <c r="E34" i="44" s="1"/>
  <c r="F34" i="44" s="1"/>
  <c r="AB8" i="53"/>
  <c r="AF7" i="53"/>
  <c r="AO10" i="53" l="1"/>
  <c r="AM10" i="53"/>
  <c r="AN10" i="53"/>
  <c r="AL10" i="53"/>
  <c r="AO13" i="53"/>
  <c r="BM14" i="56" s="1"/>
  <c r="Q69" i="46" s="1"/>
  <c r="R69" i="46" s="1"/>
  <c r="AL13" i="53"/>
  <c r="AM13" i="53"/>
  <c r="AN13" i="53"/>
  <c r="BL14" i="56" s="1"/>
  <c r="Q68" i="46" s="1"/>
  <c r="R68" i="46" s="1"/>
  <c r="AN9" i="53"/>
  <c r="BL10" i="56" s="1"/>
  <c r="I68" i="46" s="1"/>
  <c r="AO9" i="53"/>
  <c r="BM10" i="56" s="1"/>
  <c r="I69" i="46" s="1"/>
  <c r="AL9" i="53"/>
  <c r="AM9" i="53"/>
  <c r="AM8" i="53"/>
  <c r="AP8" i="53" s="1"/>
  <c r="AK7" i="53"/>
  <c r="AO8" i="53"/>
  <c r="AN8" i="53"/>
  <c r="AL8" i="53"/>
  <c r="AO12" i="53"/>
  <c r="BM13" i="56" s="1"/>
  <c r="O69" i="46" s="1"/>
  <c r="P69" i="46" s="1"/>
  <c r="AL12" i="53"/>
  <c r="BN13" i="56" s="1"/>
  <c r="O70" i="46" s="1"/>
  <c r="P70" i="46" s="1"/>
  <c r="AM12" i="53"/>
  <c r="AN12" i="53"/>
  <c r="BL13" i="56" s="1"/>
  <c r="O68" i="46" s="1"/>
  <c r="P68" i="46" s="1"/>
  <c r="AO14" i="53"/>
  <c r="BM15" i="56" s="1"/>
  <c r="S69" i="46" s="1"/>
  <c r="T69" i="46" s="1"/>
  <c r="AL14" i="53"/>
  <c r="BN15" i="56" s="1"/>
  <c r="S70" i="46" s="1"/>
  <c r="T70" i="46" s="1"/>
  <c r="AM14" i="53"/>
  <c r="BK15" i="56" s="1"/>
  <c r="S67" i="46" s="1"/>
  <c r="AN14" i="53"/>
  <c r="BL15" i="56" s="1"/>
  <c r="S68" i="46" s="1"/>
  <c r="T68" i="46" s="1"/>
  <c r="AY8" i="53"/>
  <c r="AZ8" i="53" s="1"/>
  <c r="AO11" i="53"/>
  <c r="BM12" i="56" s="1"/>
  <c r="M69" i="46" s="1"/>
  <c r="N69" i="46" s="1"/>
  <c r="AM11" i="53"/>
  <c r="BK12" i="56" s="1"/>
  <c r="M67" i="46" s="1"/>
  <c r="AN11" i="53"/>
  <c r="AL11" i="53"/>
  <c r="AO15" i="53"/>
  <c r="AL15" i="53"/>
  <c r="AM15" i="53"/>
  <c r="AN15" i="53"/>
  <c r="BK16" i="56"/>
  <c r="U67" i="46" s="1"/>
  <c r="BM16" i="56"/>
  <c r="U69" i="46" s="1"/>
  <c r="V69" i="46" s="1"/>
  <c r="BL16" i="56"/>
  <c r="U68" i="46" s="1"/>
  <c r="V68" i="46" s="1"/>
  <c r="BL12" i="56"/>
  <c r="M68" i="46" s="1"/>
  <c r="N68" i="46" s="1"/>
  <c r="BN14" i="56"/>
  <c r="Q70" i="46" s="1"/>
  <c r="R70" i="46" s="1"/>
  <c r="BM11" i="56"/>
  <c r="K69" i="46" s="1"/>
  <c r="L69" i="46" s="1"/>
  <c r="BL11" i="56"/>
  <c r="K68" i="46" s="1"/>
  <c r="L68" i="46" s="1"/>
  <c r="BK11" i="56"/>
  <c r="K67" i="46" s="1"/>
  <c r="BN9" i="56"/>
  <c r="G70" i="46" s="1"/>
  <c r="H70" i="46" s="1"/>
  <c r="BL9" i="56"/>
  <c r="G68" i="46" s="1"/>
  <c r="H68" i="46" s="1"/>
  <c r="BM9" i="56"/>
  <c r="G69" i="46" s="1"/>
  <c r="H69" i="46" s="1"/>
  <c r="AP9" i="53" l="1"/>
  <c r="AT10" i="53"/>
  <c r="AP15" i="53"/>
  <c r="AT15" i="53" s="1"/>
  <c r="AX15" i="53" s="1"/>
  <c r="AY15" i="53" s="1"/>
  <c r="AZ15" i="53" s="1"/>
  <c r="AP10" i="53"/>
  <c r="AT9" i="53"/>
  <c r="AP14" i="53"/>
  <c r="AU15" i="53"/>
  <c r="V67" i="46"/>
  <c r="AP12" i="53"/>
  <c r="AX10" i="53"/>
  <c r="AY10" i="53" s="1"/>
  <c r="AZ10" i="53" s="1"/>
  <c r="AU10" i="53"/>
  <c r="L67" i="46"/>
  <c r="S63" i="46"/>
  <c r="T63" i="46" s="1"/>
  <c r="T67" i="46"/>
  <c r="AP13" i="53"/>
  <c r="AT13" i="53" s="1"/>
  <c r="BK14" i="56"/>
  <c r="Q67" i="46" s="1"/>
  <c r="BK9" i="56"/>
  <c r="G67" i="46" s="1"/>
  <c r="N67" i="46"/>
  <c r="AP11" i="53"/>
  <c r="AT11" i="53" s="1"/>
  <c r="BK13" i="56"/>
  <c r="O67" i="46" s="1"/>
  <c r="BK10" i="56"/>
  <c r="I67" i="46" s="1"/>
  <c r="BN16" i="56"/>
  <c r="U70" i="46" s="1"/>
  <c r="V70" i="46" s="1"/>
  <c r="BN12" i="56"/>
  <c r="M70" i="46" s="1"/>
  <c r="N70" i="46" s="1"/>
  <c r="BN10" i="56"/>
  <c r="I70" i="46" s="1"/>
  <c r="BN11" i="56"/>
  <c r="K70" i="46" s="1"/>
  <c r="L70" i="46" s="1"/>
  <c r="AX13" i="53" l="1"/>
  <c r="AY13" i="53" s="1"/>
  <c r="AZ13" i="53" s="1"/>
  <c r="AU13" i="53"/>
  <c r="AX11" i="53"/>
  <c r="AY11" i="53" s="1"/>
  <c r="AZ11" i="53" s="1"/>
  <c r="AU11" i="53"/>
  <c r="U63" i="46"/>
  <c r="V63" i="46" s="1"/>
  <c r="O63" i="46"/>
  <c r="P63" i="46" s="1"/>
  <c r="P67" i="46"/>
  <c r="K63" i="46"/>
  <c r="L63" i="46" s="1"/>
  <c r="Q63" i="46"/>
  <c r="R63" i="46" s="1"/>
  <c r="R67" i="46"/>
  <c r="I63" i="46"/>
  <c r="J63" i="46" s="1"/>
  <c r="J67" i="46"/>
  <c r="M63" i="46"/>
  <c r="N63" i="46" s="1"/>
  <c r="G63" i="46"/>
  <c r="H63" i="46" s="1"/>
  <c r="E67" i="46"/>
  <c r="C67" i="46" s="1"/>
  <c r="H67" i="46"/>
  <c r="AP7" i="53"/>
  <c r="AX9" i="53"/>
  <c r="AU9" i="53"/>
  <c r="AT7" i="53"/>
  <c r="BN8" i="56"/>
  <c r="E33" i="44" s="1"/>
  <c r="F33" i="44" s="1"/>
  <c r="AY9" i="53" l="1"/>
  <c r="AZ9" i="53" s="1"/>
  <c r="AX7" i="53"/>
  <c r="AY7" i="53" s="1"/>
  <c r="BL8" i="56"/>
  <c r="BM8" i="56"/>
  <c r="E32" i="44" s="1"/>
  <c r="F32" i="44" s="1"/>
  <c r="J68" i="46"/>
  <c r="BK8" i="56"/>
  <c r="E30" i="44" s="1"/>
  <c r="E69" i="46"/>
  <c r="C69" i="46" s="1"/>
  <c r="J69" i="46"/>
  <c r="J70" i="46"/>
  <c r="E70" i="46"/>
  <c r="C70" i="46" s="1"/>
  <c r="BH14" i="56"/>
  <c r="BR14" i="56" s="1"/>
  <c r="BH15" i="56"/>
  <c r="BR15" i="56" s="1"/>
  <c r="BH16" i="56"/>
  <c r="BR16" i="56" s="1"/>
  <c r="BH11" i="56"/>
  <c r="BR11" i="56" s="1"/>
  <c r="BH10" i="56"/>
  <c r="BR10" i="56" s="1"/>
  <c r="BH12" i="56"/>
  <c r="BR12" i="56" s="1"/>
  <c r="BH13" i="56"/>
  <c r="BR13" i="56" s="1"/>
  <c r="BH9" i="56"/>
  <c r="BR9" i="56" s="1"/>
  <c r="F30" i="44" l="1"/>
  <c r="BL5" i="56"/>
  <c r="E31" i="44"/>
  <c r="F31" i="44" s="1"/>
  <c r="BM5" i="56"/>
  <c r="BS12" i="56"/>
  <c r="BS16" i="56"/>
  <c r="CH15" i="56"/>
  <c r="CI15" i="56" s="1"/>
  <c r="CK15" i="56" s="1"/>
  <c r="CL15" i="56" s="1"/>
  <c r="BK5" i="56"/>
  <c r="E68" i="46"/>
  <c r="C68" i="46" s="1"/>
  <c r="CH13" i="56"/>
  <c r="CI13" i="56" s="1"/>
  <c r="CK13" i="56" s="1"/>
  <c r="CL13" i="56" s="1"/>
  <c r="BH8" i="56"/>
  <c r="E26" i="44" l="1"/>
  <c r="F26" i="44"/>
  <c r="CH14" i="56"/>
  <c r="CI14" i="56" s="1"/>
  <c r="CK14" i="56" s="1"/>
  <c r="CL14" i="56" s="1"/>
  <c r="CM14" i="56" s="1"/>
  <c r="CP14" i="56" s="1"/>
  <c r="BU14" i="56"/>
  <c r="BS14" i="56"/>
  <c r="CH12" i="56"/>
  <c r="CI12" i="56" s="1"/>
  <c r="CK12" i="56" s="1"/>
  <c r="CL12" i="56" s="1"/>
  <c r="CM12" i="56" s="1"/>
  <c r="CP12" i="56" s="1"/>
  <c r="BU16" i="56"/>
  <c r="BU12" i="56"/>
  <c r="BU13" i="56"/>
  <c r="BU9" i="56"/>
  <c r="BU15" i="56"/>
  <c r="BS10" i="56"/>
  <c r="BU10" i="56"/>
  <c r="BS15" i="56"/>
  <c r="CH16" i="56"/>
  <c r="CI16" i="56" s="1"/>
  <c r="CK16" i="56" s="1"/>
  <c r="CL16" i="56" s="1"/>
  <c r="BU11" i="56"/>
  <c r="CH11" i="56"/>
  <c r="CI11" i="56" s="1"/>
  <c r="CK11" i="56" s="1"/>
  <c r="CL11" i="56" s="1"/>
  <c r="CM11" i="56" s="1"/>
  <c r="CP11" i="56" s="1"/>
  <c r="BS11" i="56"/>
  <c r="CH9" i="56"/>
  <c r="CI9" i="56" s="1"/>
  <c r="CK9" i="56" s="1"/>
  <c r="CL9" i="56" s="1"/>
  <c r="CH10" i="56"/>
  <c r="CI10" i="56" s="1"/>
  <c r="CK10" i="56" s="1"/>
  <c r="CL10" i="56" s="1"/>
  <c r="CM10" i="56" s="1"/>
  <c r="CP10" i="56" s="1"/>
  <c r="BS9" i="56"/>
  <c r="BS13" i="56"/>
  <c r="J65" i="46"/>
  <c r="E65" i="46"/>
  <c r="C65" i="46" s="1"/>
  <c r="BR8" i="56"/>
  <c r="BR5" i="56" s="1"/>
  <c r="CM13" i="56"/>
  <c r="CP13" i="56" s="1"/>
  <c r="O76" i="46"/>
  <c r="CM15" i="56"/>
  <c r="CP15" i="56" s="1"/>
  <c r="S76" i="46"/>
  <c r="Q76" i="46" l="1"/>
  <c r="R76" i="46" s="1"/>
  <c r="M76" i="46"/>
  <c r="N76" i="46" s="1"/>
  <c r="U76" i="46"/>
  <c r="V76" i="46" s="1"/>
  <c r="CM16" i="56"/>
  <c r="CP16" i="56" s="1"/>
  <c r="G76" i="46"/>
  <c r="H76" i="46" s="1"/>
  <c r="I76" i="46"/>
  <c r="J76" i="46" s="1"/>
  <c r="K76" i="46"/>
  <c r="L76" i="46" s="1"/>
  <c r="BU8" i="56"/>
  <c r="CH8" i="56"/>
  <c r="CI8" i="56" s="1"/>
  <c r="CH5" i="56" s="1"/>
  <c r="CL8" i="56"/>
  <c r="E38" i="44" s="1"/>
  <c r="CM9" i="56"/>
  <c r="CP9" i="56" s="1"/>
  <c r="E63" i="46"/>
  <c r="BS8" i="56"/>
  <c r="T76" i="46"/>
  <c r="P76" i="46"/>
  <c r="C63" i="46" l="1"/>
  <c r="E76" i="46"/>
  <c r="C76" i="46" s="1"/>
  <c r="E42" i="44"/>
  <c r="CL5" i="56"/>
  <c r="F38" i="44" l="1"/>
  <c r="E40" i="4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tc={D652C5B7-8E31-4000-8014-2A912F46642C}</author>
  </authors>
  <commentList>
    <comment ref="AB4" authorId="0" shapeId="0" xr:uid="{D652C5B7-8E31-4000-8014-2A912F46642C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Incluye areas comunes privadas, circulacion escaleras, etc. 
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<sst xmlns="http://schemas.openxmlformats.org/spreadsheetml/2006/main" count="3131" uniqueCount="934">
  <si>
    <t>Item</t>
  </si>
  <si>
    <t>Descripción</t>
  </si>
  <si>
    <t>Indices</t>
  </si>
  <si>
    <t>Costo unitario</t>
  </si>
  <si>
    <t>Valor del suelo Base GDB 2025 Catastro ($/m2)</t>
  </si>
  <si>
    <t>IVIUR 2024 Bogotá</t>
  </si>
  <si>
    <t>IVIUR 2025 Bogotá</t>
  </si>
  <si>
    <t>IIVIUR 2024-2025 Bogotá</t>
  </si>
  <si>
    <t>Industrial</t>
  </si>
  <si>
    <t>Comercial</t>
  </si>
  <si>
    <t>Residencial No Vis</t>
  </si>
  <si>
    <t>Vis / Vip</t>
  </si>
  <si>
    <t>ICOCED</t>
  </si>
  <si>
    <t>Indice</t>
  </si>
  <si>
    <t>Costo directo</t>
  </si>
  <si>
    <t>Obligación VIP / VIS sobre Ice</t>
  </si>
  <si>
    <t>VIP</t>
  </si>
  <si>
    <t>VIS</t>
  </si>
  <si>
    <t>Compensacion ESB</t>
  </si>
  <si>
    <t>Compensacion CORFERIAS</t>
  </si>
  <si>
    <t>Valor Directo Construcción (Chat GPT 2025)</t>
  </si>
  <si>
    <t>$/m2 cnt directo</t>
  </si>
  <si>
    <t>1-Comercio puntual</t>
  </si>
  <si>
    <t>2-Comercio en centros comerciales</t>
  </si>
  <si>
    <t>3-Espacio Público</t>
  </si>
  <si>
    <t>4-Industrial</t>
  </si>
  <si>
    <t>5-Logístico</t>
  </si>
  <si>
    <t>6-Oficinas</t>
  </si>
  <si>
    <t xml:space="preserve">7-Residencial </t>
  </si>
  <si>
    <t>8-Servicios (Clinicas,etc)</t>
  </si>
  <si>
    <t>9-Urbanizado_no_edificado</t>
  </si>
  <si>
    <t>OBLIGACIONES URBANISTICAS</t>
  </si>
  <si>
    <t>Adecuacion de Espacio Público</t>
  </si>
  <si>
    <t>Renobo AE Calle 72</t>
  </si>
  <si>
    <t>Costo urbanismo interno Bogotá</t>
  </si>
  <si>
    <t>PP Everfit 2018</t>
  </si>
  <si>
    <t>Adeciación de vías</t>
  </si>
  <si>
    <t>Calificación suelo VIS/VIP</t>
  </si>
  <si>
    <t>Valor Catastra Suelo (2023)</t>
  </si>
  <si>
    <t>$/m2</t>
  </si>
  <si>
    <t>Valor Comercial Suelo (2023)</t>
  </si>
  <si>
    <t>Iviur 2024</t>
  </si>
  <si>
    <t>Iviur 2025</t>
  </si>
  <si>
    <t>Iviut Total</t>
  </si>
  <si>
    <t>Valor Suelo Catastral (2026)</t>
  </si>
  <si>
    <t>Valor Comercial Suelo (2026)</t>
  </si>
  <si>
    <t>Valor Catastra Suelo (2026)</t>
  </si>
  <si>
    <t>ESTACIONAMIENTOS</t>
  </si>
  <si>
    <t>Exigido</t>
  </si>
  <si>
    <t>n.a.</t>
  </si>
  <si>
    <t>Opcional Base (0-10%)</t>
  </si>
  <si>
    <t>% a.t.c.</t>
  </si>
  <si>
    <t>Opcional Adicional sujeto a compensación (0 a 15 %)</t>
  </si>
  <si>
    <t>DATOS NORMA</t>
  </si>
  <si>
    <t xml:space="preserve">Descripción </t>
  </si>
  <si>
    <t>valor</t>
  </si>
  <si>
    <t>unidad</t>
  </si>
  <si>
    <t>Dimensión antejardín</t>
  </si>
  <si>
    <t>ml</t>
  </si>
  <si>
    <t>OBLIGACIONES URBANíSTICAS</t>
  </si>
  <si>
    <t>Carácter local</t>
  </si>
  <si>
    <t>a</t>
  </si>
  <si>
    <t>Cesión de suelo + Construcción de Espacio público</t>
  </si>
  <si>
    <t>Si</t>
  </si>
  <si>
    <t>a.b.</t>
  </si>
  <si>
    <t>b</t>
  </si>
  <si>
    <t>Cesión de suelo + Construcción de Malla Vial intermedia y local</t>
  </si>
  <si>
    <t>-</t>
  </si>
  <si>
    <t>c</t>
  </si>
  <si>
    <t>El suelo de las zonas de cesión para equipamiento comunal público</t>
  </si>
  <si>
    <t>¿Construcción de equipamientos?</t>
  </si>
  <si>
    <t>x</t>
  </si>
  <si>
    <t>d</t>
  </si>
  <si>
    <t>El suelo y la construcción de redes secundarias y locales de los servicios públicos domiciliarios y sus infraestructuras relacionadas.</t>
  </si>
  <si>
    <t>e</t>
  </si>
  <si>
    <t>Destinación de un porcentaje obligatorio de suelo o su equivalente en área construida para VIS y VIP,</t>
  </si>
  <si>
    <t>a.u.</t>
  </si>
  <si>
    <t>f</t>
  </si>
  <si>
    <t>Costos de estudios y ejecución de obras de mitigación de los suelos que deban sanear pasivos ameintales, contaminados o degradados</t>
  </si>
  <si>
    <t>g</t>
  </si>
  <si>
    <t>Costos política de proytección a moradores y actividades productivas y participación ciudadana</t>
  </si>
  <si>
    <t>h</t>
  </si>
  <si>
    <t>Costos de formulación</t>
  </si>
  <si>
    <t xml:space="preserve">Indice de Construcción Efectivo </t>
  </si>
  <si>
    <t xml:space="preserve">Califiación suelo VIP / VIS IC &gt; 7 Planes Parciales </t>
  </si>
  <si>
    <t>Vip</t>
  </si>
  <si>
    <t>Condición artículo 305 Dec 555-2021</t>
  </si>
  <si>
    <t>Elevación máxima aeropuerto</t>
  </si>
  <si>
    <t>Norma de Parqueaderos</t>
  </si>
  <si>
    <t xml:space="preserve">Usos permitidos </t>
  </si>
  <si>
    <t xml:space="preserve">A.C. </t>
  </si>
  <si>
    <t>Residencial</t>
  </si>
  <si>
    <t xml:space="preserve">  No Vis</t>
  </si>
  <si>
    <t>m2/viv</t>
  </si>
  <si>
    <t xml:space="preserve">  Vis</t>
  </si>
  <si>
    <t xml:space="preserve">  Vip</t>
  </si>
  <si>
    <t>m2 / viv</t>
  </si>
  <si>
    <t xml:space="preserve">  Viv con servicios </t>
  </si>
  <si>
    <t xml:space="preserve">  Medicalizadas</t>
  </si>
  <si>
    <t>Dotacional</t>
  </si>
  <si>
    <t xml:space="preserve">  Equipamiento Tipo 1</t>
  </si>
  <si>
    <t xml:space="preserve">  Equipamiento Tipo 2</t>
  </si>
  <si>
    <t xml:space="preserve">  Equipamiento Tipo 3</t>
  </si>
  <si>
    <t>Comercial y de servicios</t>
  </si>
  <si>
    <t xml:space="preserve">  Clasificación por área</t>
  </si>
  <si>
    <t xml:space="preserve">  Comercial y de servicios 1</t>
  </si>
  <si>
    <t xml:space="preserve">  Comercial y de servicios 2</t>
  </si>
  <si>
    <t xml:space="preserve">  Comercial y de servicios 3</t>
  </si>
  <si>
    <r>
      <t xml:space="preserve">  </t>
    </r>
    <r>
      <rPr>
        <b/>
        <sz val="11"/>
        <color theme="1"/>
        <rFont val="Swis721 LtCn BT"/>
        <family val="2"/>
      </rPr>
      <t>Clasificación por uso</t>
    </r>
  </si>
  <si>
    <t xml:space="preserve">  Comercios y servicios creativos</t>
  </si>
  <si>
    <t xml:space="preserve">  Comercios y servicios básicos</t>
  </si>
  <si>
    <t xml:space="preserve">  Servicios de hospedaje</t>
  </si>
  <si>
    <t>SI</t>
  </si>
  <si>
    <t xml:space="preserve">  Servicios de Oficinas:</t>
  </si>
  <si>
    <t xml:space="preserve">  Servicios al automóvil</t>
  </si>
  <si>
    <t>No</t>
  </si>
  <si>
    <t xml:space="preserve">  Servicios Especiales.</t>
  </si>
  <si>
    <t xml:space="preserve">  Servicios logísticos</t>
  </si>
  <si>
    <t>Si?</t>
  </si>
  <si>
    <t>Usos industriales</t>
  </si>
  <si>
    <t xml:space="preserve">  Clasificacion por área</t>
  </si>
  <si>
    <t xml:space="preserve">  Industrial tipo 1</t>
  </si>
  <si>
    <t xml:space="preserve">  Industrial tipo 2</t>
  </si>
  <si>
    <t xml:space="preserve">  Industrial tipo 3</t>
  </si>
  <si>
    <t xml:space="preserve">  Clasificación por tipo</t>
  </si>
  <si>
    <t xml:space="preserve">   Producción artesanal</t>
  </si>
  <si>
    <t xml:space="preserve">  Industria transformadora </t>
  </si>
  <si>
    <t xml:space="preserve">    a. Industria Liviana</t>
  </si>
  <si>
    <t xml:space="preserve">    b. Industria Mediana:</t>
  </si>
  <si>
    <t xml:space="preserve">    c. Industria Pesada:</t>
  </si>
  <si>
    <t>Estacionamientos (Ver art 389 Dec. 555 - 2021)</t>
  </si>
  <si>
    <t>Area de actividad estructurante Receptora de obligaciones urbanísticas.AAERVIS</t>
  </si>
  <si>
    <t>No se exige un mínimo de áreas para estacionamientos</t>
  </si>
  <si>
    <t>Opcional</t>
  </si>
  <si>
    <t>% área máxima destinada para estacionamientos sobre el área construida del proyecto para el cálculo de estacionamientos.</t>
  </si>
  <si>
    <t>0-10%</t>
  </si>
  <si>
    <t>A.C.</t>
  </si>
  <si>
    <t>% área adicional destinada para estacionamiento sujeta a 
pago compensatorio calculado sobre sobre el área construida
del proyecto para el cálculo de estacionamientos</t>
  </si>
  <si>
    <t>0-15%</t>
  </si>
  <si>
    <t>* El porcentaje de área destinada a estacionamientos incluye únicamente zonas de parqueo, maniobra y circulación vehicular.</t>
  </si>
  <si>
    <t>Estacioamientos para bicicletas</t>
  </si>
  <si>
    <t xml:space="preserve">  0 - 80 </t>
  </si>
  <si>
    <t>pq/viv.</t>
  </si>
  <si>
    <t xml:space="preserve">  &gt;80 - 120</t>
  </si>
  <si>
    <t xml:space="preserve">  &gt; 120 </t>
  </si>
  <si>
    <t xml:space="preserve">indice </t>
  </si>
  <si>
    <t>Observaciones</t>
  </si>
  <si>
    <t xml:space="preserve">Residencial (ver </t>
  </si>
  <si>
    <t>Vip (Obligacion en suelo)</t>
  </si>
  <si>
    <t>Vip (Obligacion en m2 cnt)</t>
  </si>
  <si>
    <t xml:space="preserve">Con área construida &lt; = 4000 m² </t>
  </si>
  <si>
    <t xml:space="preserve">Con área construida &gt;4000 m² &lt;=15,000 m2. </t>
  </si>
  <si>
    <t xml:space="preserve">Con área construida &gt; 15.000 m2. </t>
  </si>
  <si>
    <t>Uso aglomerado o individual con área construida &lt;= 500 m2.</t>
  </si>
  <si>
    <t>Uso aglomerado o individual con área construida &gt; 500 m2. &lt;= 4000 m2.</t>
  </si>
  <si>
    <t>Uso aglomerado o individual con área construida &gt; 4000 m2.</t>
  </si>
  <si>
    <r>
      <t xml:space="preserve">  </t>
    </r>
    <r>
      <rPr>
        <b/>
        <sz val="10"/>
        <color theme="1"/>
        <rFont val="Swis721 LtCn BT"/>
        <family val="2"/>
      </rPr>
      <t>Clasificación por uso</t>
    </r>
  </si>
  <si>
    <t>Cantidad</t>
  </si>
  <si>
    <t>Valor unitario</t>
  </si>
  <si>
    <t>Valor Total</t>
  </si>
  <si>
    <t>Area promedio unidad x uso</t>
  </si>
  <si>
    <t>Precio m2 / uso</t>
  </si>
  <si>
    <t xml:space="preserve">Valor </t>
  </si>
  <si>
    <t xml:space="preserve">a_CS - Creativos </t>
  </si>
  <si>
    <t>m2</t>
  </si>
  <si>
    <t>b_CS - General (Comercio + Oficinas + Hospedaje)</t>
  </si>
  <si>
    <t>c_CS - Grandes Superficies</t>
  </si>
  <si>
    <t>d_CS - Torre Empresarial (Oficinas + Hospedaje)</t>
  </si>
  <si>
    <t>e_CS - Innovation (H, CS, Gamers)</t>
  </si>
  <si>
    <t>vip</t>
  </si>
  <si>
    <t xml:space="preserve">f_RES - VIS Ru </t>
  </si>
  <si>
    <t>h_RES - VIP Ru</t>
  </si>
  <si>
    <t>i_RES - No VIS</t>
  </si>
  <si>
    <t>No Vis</t>
  </si>
  <si>
    <t>Vis RU</t>
  </si>
  <si>
    <t>SMMLV</t>
  </si>
  <si>
    <t>$</t>
  </si>
  <si>
    <t>Vip RU</t>
  </si>
  <si>
    <t>Locales Comerciales</t>
  </si>
  <si>
    <t xml:space="preserve">Torre Estación Central </t>
  </si>
  <si>
    <t>Local venta Chapinero (Usado)</t>
  </si>
  <si>
    <t>Local venta Santa Fé (usado)</t>
  </si>
  <si>
    <t>Local Venta Quinta Camacho (Usado)</t>
  </si>
  <si>
    <t>Florens Origen Consultorios</t>
  </si>
  <si>
    <t>Oficinas</t>
  </si>
  <si>
    <t>Torre 126 Oficina en Venta</t>
  </si>
  <si>
    <t>Meridiano IKONIK</t>
  </si>
  <si>
    <t>Life 72</t>
  </si>
  <si>
    <t>NO VIS</t>
  </si>
  <si>
    <t>Arborea</t>
  </si>
  <si>
    <t>Celeste</t>
  </si>
  <si>
    <t>Centriko</t>
  </si>
  <si>
    <t>Bosscatta</t>
  </si>
  <si>
    <t>Element 142</t>
  </si>
  <si>
    <t>Fuente: https://www.metrocuadrado.com/local/venta/bogota/?search=form</t>
  </si>
  <si>
    <t>Parqueaderos</t>
  </si>
  <si>
    <t>Chapinero la Cabrera (usado)</t>
  </si>
  <si>
    <t>Usaquén Parques de Lorena (Usado)</t>
  </si>
  <si>
    <t>Usaquén Escuela de Infantería (Usado)</t>
  </si>
  <si>
    <t xml:space="preserve">Fuente: https://www.ciencuadras.com/venta/bogota/parqueadero </t>
  </si>
  <si>
    <t>Lucro cesante</t>
  </si>
  <si>
    <t>% indexación IPC</t>
  </si>
  <si>
    <t>Viviendas ($/m2)</t>
  </si>
  <si>
    <t>Locales ($/m2)</t>
  </si>
  <si>
    <t>Mudanza por trayecto</t>
  </si>
  <si>
    <t>$ mensual arriendo transitorio residencial</t>
  </si>
  <si>
    <t>$ mensual arriendo transitorio comercial</t>
  </si>
  <si>
    <t>Obligaciones transitorias</t>
  </si>
  <si>
    <t>Lucro cesante para todos</t>
  </si>
  <si>
    <t>meses</t>
  </si>
  <si>
    <t>Arriendo transitorio</t>
  </si>
  <si>
    <t>Mudanza</t>
  </si>
  <si>
    <t>trayectos</t>
  </si>
  <si>
    <t>GENERAL</t>
  </si>
  <si>
    <t>DESCRIPCION</t>
  </si>
  <si>
    <t>% Circulaciones</t>
  </si>
  <si>
    <t>Costo Construcción</t>
  </si>
  <si>
    <t>Valor Ventas (2026)</t>
  </si>
  <si>
    <t>Utilidad</t>
  </si>
  <si>
    <t>Área Unidad</t>
  </si>
  <si>
    <t>%</t>
  </si>
  <si>
    <t xml:space="preserve">No Vis </t>
  </si>
  <si>
    <t>VIS_RU (175 smmlv)</t>
  </si>
  <si>
    <t>VIP RU (90 smmlv)</t>
  </si>
  <si>
    <t>Estacionamientos</t>
  </si>
  <si>
    <t>Fuente: Metrocuadrado</t>
  </si>
  <si>
    <t>Urbanismo Interno</t>
  </si>
  <si>
    <t>Adecuación Espacio Público Blando Z.V.</t>
  </si>
  <si>
    <t>Adecuación vial</t>
  </si>
  <si>
    <t>Construcción equipamiento Cuidado</t>
  </si>
  <si>
    <t>Fuente: Renobo  A.E. ZiBo</t>
  </si>
  <si>
    <t>Construcción Equipamiento Comunal Privado (ECP)</t>
  </si>
  <si>
    <t xml:space="preserve">Costo Construcción Parqueaderos </t>
  </si>
  <si>
    <t xml:space="preserve">Valor suelo </t>
  </si>
  <si>
    <t>Fuente: Datos Abiertos Bogotá (valorref2026.zip)</t>
  </si>
  <si>
    <t xml:space="preserve">Valor Venta parqueadero </t>
  </si>
  <si>
    <t>Costo construcción parqueadero</t>
  </si>
  <si>
    <t>Area unidad parqueadero</t>
  </si>
  <si>
    <t>Costos RenoBo</t>
  </si>
  <si>
    <t>Valor</t>
  </si>
  <si>
    <t xml:space="preserve">Costo annual </t>
  </si>
  <si>
    <t>$/año</t>
  </si>
  <si>
    <t xml:space="preserve">Vigencia PP </t>
  </si>
  <si>
    <t>años</t>
  </si>
  <si>
    <t>Costo Total</t>
  </si>
  <si>
    <t>Fuente: Renobo</t>
  </si>
  <si>
    <t>AVALUO SUELO + CONSTRUCCION EXISTENTES (SIN DEMOLICION)</t>
  </si>
  <si>
    <t>UAU</t>
  </si>
  <si>
    <t>VALOR DEL SUELO</t>
  </si>
  <si>
    <t>VALOR DE LA CONSTRUCCION</t>
  </si>
  <si>
    <t>Valor total 
Suelo + Construccion</t>
  </si>
  <si>
    <t>Valor unitario de suelo con 
(suelo + construcción)</t>
  </si>
  <si>
    <t>Costo demolicicón</t>
  </si>
  <si>
    <t>Costo CNT - Dem</t>
  </si>
  <si>
    <t xml:space="preserve">No. </t>
  </si>
  <si>
    <t>Lot Codigo</t>
  </si>
  <si>
    <t>Código_Predio</t>
  </si>
  <si>
    <t>Area</t>
  </si>
  <si>
    <t xml:space="preserve">Valor Base
GDB 2026 Catastro </t>
  </si>
  <si>
    <t>Total</t>
  </si>
  <si>
    <t>Area Construida</t>
  </si>
  <si>
    <t>Destinación Económica</t>
  </si>
  <si>
    <t>Costo Directo</t>
  </si>
  <si>
    <t>Costo Indirecto</t>
  </si>
  <si>
    <t>004301001021</t>
  </si>
  <si>
    <t>004301001020</t>
  </si>
  <si>
    <t>004301001018</t>
  </si>
  <si>
    <t>004301001019</t>
  </si>
  <si>
    <t>004301001016</t>
  </si>
  <si>
    <t>004301001017</t>
  </si>
  <si>
    <t>004301001013</t>
  </si>
  <si>
    <t>004301001015</t>
  </si>
  <si>
    <t>004301001014</t>
  </si>
  <si>
    <t>004301001012</t>
  </si>
  <si>
    <t>004301001011</t>
  </si>
  <si>
    <t>004301001006</t>
  </si>
  <si>
    <t>004301001010</t>
  </si>
  <si>
    <t>004301001005</t>
  </si>
  <si>
    <t>004301001009</t>
  </si>
  <si>
    <t>004301001007</t>
  </si>
  <si>
    <t>004301001004</t>
  </si>
  <si>
    <t>004301001008</t>
  </si>
  <si>
    <t>004301001030</t>
  </si>
  <si>
    <t>004301001003</t>
  </si>
  <si>
    <t>004301001029</t>
  </si>
  <si>
    <t>004301001028</t>
  </si>
  <si>
    <t>004301001022</t>
  </si>
  <si>
    <t>004301001027</t>
  </si>
  <si>
    <t>004301001031</t>
  </si>
  <si>
    <t>BASE CATASTRAL</t>
  </si>
  <si>
    <t>BASE JURIDICA</t>
  </si>
  <si>
    <t>LotCodigo</t>
  </si>
  <si>
    <t>LotCodMzn</t>
  </si>
  <si>
    <t>NoLote</t>
  </si>
  <si>
    <t>Codigo_Predio</t>
  </si>
  <si>
    <t>Codigo_CHIP</t>
  </si>
  <si>
    <t>Cedula_Cat</t>
  </si>
  <si>
    <t>Numero_Prredial_Nacional</t>
  </si>
  <si>
    <t>Tipo_Predio</t>
  </si>
  <si>
    <t>Direccion_</t>
  </si>
  <si>
    <t>Area_CNT</t>
  </si>
  <si>
    <t>Area_Certificado m2</t>
  </si>
  <si>
    <t>Area_Certificado Varas 2</t>
  </si>
  <si>
    <t>Area_Cert. m2 Convertidos</t>
  </si>
  <si>
    <t>Area_Cert. m2 Consolidado</t>
  </si>
  <si>
    <t>ZHF</t>
  </si>
  <si>
    <t>Dest_Econ</t>
  </si>
  <si>
    <t>Puntaje</t>
  </si>
  <si>
    <t>Matricula</t>
  </si>
  <si>
    <t>Estado</t>
  </si>
  <si>
    <t>Propietario</t>
  </si>
  <si>
    <t>Tipo_Propietario</t>
  </si>
  <si>
    <t>OBSERVACIONES</t>
  </si>
  <si>
    <t>ESTADO_JURIDICO</t>
  </si>
  <si>
    <t>Area ambito PL CAT</t>
  </si>
  <si>
    <t>AMD</t>
  </si>
  <si>
    <t>AB-AMD</t>
  </si>
  <si>
    <t>% dif.</t>
  </si>
  <si>
    <t>% dif. Absoluto</t>
  </si>
  <si>
    <t>Area Formulación</t>
  </si>
  <si>
    <t xml:space="preserve">m2 dif. </t>
  </si>
  <si>
    <t xml:space="preserve">% dif. </t>
  </si>
  <si>
    <t>AMDs</t>
  </si>
  <si>
    <t>AF - AMDs</t>
  </si>
  <si>
    <t>004301001</t>
  </si>
  <si>
    <t>AAA0037OZCN</t>
  </si>
  <si>
    <t>9 53 16</t>
  </si>
  <si>
    <t>Particular</t>
  </si>
  <si>
    <t>KR 53F 5C 08</t>
  </si>
  <si>
    <t>50C-67685</t>
  </si>
  <si>
    <t>ACTIVO</t>
  </si>
  <si>
    <t>INTERANDINA DE CONDUCTORES LIMITADA</t>
  </si>
  <si>
    <t>URBANO</t>
  </si>
  <si>
    <t>LOTE O BODEGA INDUSTRIAL. AREA CONSTRUIDA DE 834 M2</t>
  </si>
  <si>
    <t>TRANSFERENCIA A TITULO DE LEASING HABITACIONALDE VIVIEND NO FAMILIAR</t>
  </si>
  <si>
    <t>AAA0037PACN</t>
  </si>
  <si>
    <t>9 50 9</t>
  </si>
  <si>
    <t>AK 50 5C 71</t>
  </si>
  <si>
    <t>Urbanizado no edificado</t>
  </si>
  <si>
    <t>50C-1298780</t>
  </si>
  <si>
    <t>CHAID NEME HERMANOS S.A.</t>
  </si>
  <si>
    <t>SIN INFORMACION</t>
  </si>
  <si>
    <t>LOTE DE TERRENO CON EXTENSION SUPERFICIARA DE 1.524,70 M2, MATRICULA MATRIZ 50C-1183501</t>
  </si>
  <si>
    <t>CONSTITUCION DE REGLAMENTO DE PROPIEDAD HORIZONTAL. REVISAR</t>
  </si>
  <si>
    <t>AAA0037OZLF</t>
  </si>
  <si>
    <t>9 53 1</t>
  </si>
  <si>
    <t>KR 53F 5C 44</t>
  </si>
  <si>
    <t>Comercio puntual</t>
  </si>
  <si>
    <t>50C-104264</t>
  </si>
  <si>
    <t>GASEOSAS LUX S.A</t>
  </si>
  <si>
    <t>LOTE Y BODEGA CON UNA CABIDA DE 1.286,45 V2</t>
  </si>
  <si>
    <t>AAA0037PAEP</t>
  </si>
  <si>
    <t>9 50 3</t>
  </si>
  <si>
    <t>AK 50 5C 29</t>
  </si>
  <si>
    <t>50C-1183500</t>
  </si>
  <si>
    <t>LOTE 3.821,45 M2 QUE HACE PARTE DE UNOO DEM AYOR EXTENSION. MATRICULA MATRIZ 50C-109122. DERIVADA 50C-1845369</t>
  </si>
  <si>
    <t>AAA0037OYZM</t>
  </si>
  <si>
    <t>9 50 2</t>
  </si>
  <si>
    <t>CL 5C 53 10</t>
  </si>
  <si>
    <t>50C-1183502</t>
  </si>
  <si>
    <t>MATRICULA MATRIZ 50C-109122, LOTE NO. 1 CON CABIDA APROXIMADA DE 4711.02 M2. LOTE DE TERRENO EL CUAL HACE PARTE DE UNO DE MAYOR EXTENSION</t>
  </si>
  <si>
    <t>CANCELACION HIPOTECA. PARECE IMCOMPLETO. GASEOSAS POSTOBON</t>
  </si>
  <si>
    <t>AAA0037OZRJ</t>
  </si>
  <si>
    <t>9 53 5</t>
  </si>
  <si>
    <t>KR 53F 5C 78</t>
  </si>
  <si>
    <t>50C-172314</t>
  </si>
  <si>
    <t>LOTE DE LA URBANIZACION SAN RAFAEL AREA DE 1.271,58 V2</t>
  </si>
  <si>
    <t>AAA0037OZNX</t>
  </si>
  <si>
    <t>9 53 13</t>
  </si>
  <si>
    <t>KR 53F 5C 58</t>
  </si>
  <si>
    <t>50C-864965</t>
  </si>
  <si>
    <t>MATRICULA MATRIZ 50C-772308. LOTE DE LA URBANIZACION INDUSTRIAL SAN RAFAEL CON UNA EXTENSION SUPERFICIARA DE 818.57 MS</t>
  </si>
  <si>
    <t>AAA0037OZMR</t>
  </si>
  <si>
    <t>9 53 14</t>
  </si>
  <si>
    <t>KR 53F 5C 50</t>
  </si>
  <si>
    <t>50C-82321</t>
  </si>
  <si>
    <t>INMUEBLE EN LA URBANIZACION INDUSTRIAL SAN RAFAEL NO CONSTA EXTENSION</t>
  </si>
  <si>
    <t>AAA0037OZUH</t>
  </si>
  <si>
    <t>9 51 2</t>
  </si>
  <si>
    <t>AC 9 50 85</t>
  </si>
  <si>
    <t>50C-1407090</t>
  </si>
  <si>
    <t>MATRICULA MATRIZ 50C-70591 Y 1332610. GLOBO DE TERRENO CON UN AREA TOTAL DE 55.087,11M2</t>
  </si>
  <si>
    <t>AAA0037OZHK</t>
  </si>
  <si>
    <t>9 53 8</t>
  </si>
  <si>
    <t>KR 53F 5C 28</t>
  </si>
  <si>
    <t>50C-821684</t>
  </si>
  <si>
    <t>SKOTIABANK COLPATRIA</t>
  </si>
  <si>
    <t>LOTE DE TERRENO QUE FORMA PARTE DE LA URBANIZACION SAN RAFAEL. AREA DE TERRENO 2.590,25</t>
  </si>
  <si>
    <t>AAA0037OZBS</t>
  </si>
  <si>
    <t>9 53 15</t>
  </si>
  <si>
    <t>KR 53F 5C 04</t>
  </si>
  <si>
    <t>50C-740846</t>
  </si>
  <si>
    <t>BODEGA O LOCAL INDUSRRIAL. AREA APROXIMADA DE 1.915,86 V2 OSEA 1.391,26 M2</t>
  </si>
  <si>
    <t>PROPIETARIO GASEOSA LUX</t>
  </si>
  <si>
    <t>AAA0037PADE</t>
  </si>
  <si>
    <t>9 50 4</t>
  </si>
  <si>
    <t>AK 50 5C 55</t>
  </si>
  <si>
    <t>50C-1183501</t>
  </si>
  <si>
    <t>LOTE 7.962,62 M2. EL CUAL HACE PARTE DE UNO DE MAYOR EXTENSION. MATRICULA MATRIZ 50C-109122. DERIVADA 50C-1298780</t>
  </si>
  <si>
    <t>AAA0037OZFZ</t>
  </si>
  <si>
    <t>9 53 17</t>
  </si>
  <si>
    <t>KR 53F 5C 24</t>
  </si>
  <si>
    <t>50C-861722</t>
  </si>
  <si>
    <t>BANCO DAVIVIENDA SA</t>
  </si>
  <si>
    <t>BODEGA LOCAL INDUSTRIAL. AREA APROXIMADA DE 1300 VARAS CUADRADAS. Y 900 M2 TIENE UNA ANOTACION DE ACREEDOR HIPOTECARIO</t>
  </si>
  <si>
    <t>BANCO DAVIVIENDA</t>
  </si>
  <si>
    <t>AAA0037OZKC</t>
  </si>
  <si>
    <t>9 53 6</t>
  </si>
  <si>
    <t>KR 53F 5C 38</t>
  </si>
  <si>
    <t>50C-238114</t>
  </si>
  <si>
    <t>CUATRO PROPIETARIOS, DIFERENTES PORCENTAJES NO SUMA 100%</t>
  </si>
  <si>
    <t>LOTE DE TERRENO QUE FORMA PARTE DE LA URBANIZACION SAN RAFAEL. AREA DE TERRENO 1.288,92 V2 OSEA 824,91 M2</t>
  </si>
  <si>
    <t>REVISAR</t>
  </si>
  <si>
    <t>AAA0037OZDE</t>
  </si>
  <si>
    <t>9 53 10</t>
  </si>
  <si>
    <t>KR 53F 5C 16</t>
  </si>
  <si>
    <t>50C-64883</t>
  </si>
  <si>
    <t>INDUSTRIAS MIWAL LIMITADA</t>
  </si>
  <si>
    <t>MATRICULA MATRIZ 50C-6298. CABIDA DE 832,85 M2. LOTE DE TERRENO EN URBANIZACION SAN FAEL</t>
  </si>
  <si>
    <t>AAA0037OZSY</t>
  </si>
  <si>
    <t>9 53 12</t>
  </si>
  <si>
    <t>KR 53F 5C 86</t>
  </si>
  <si>
    <t>50C-1827523</t>
  </si>
  <si>
    <t>UNA BODEGA JUNTO CON EL TERRENO. EXT SUPERFICIARIA DE 812 APROX</t>
  </si>
  <si>
    <t>AAA0037OZOM</t>
  </si>
  <si>
    <t>9 53 4</t>
  </si>
  <si>
    <t>KR 53F 5C 62</t>
  </si>
  <si>
    <t>50C-864966</t>
  </si>
  <si>
    <t>MATRICULA MSTRIZ 50C-772308. LOTE DE LA URBANIZACION  INDUSTRIAL SAN RAFAEL CON UNA EXTENSION SUPERFICIARIA DE 1276,55 V2 OSEA 817 M2</t>
  </si>
  <si>
    <t>AAA0037OZJZ</t>
  </si>
  <si>
    <t>9 53 9</t>
  </si>
  <si>
    <t>KR 53F 5C 34</t>
  </si>
  <si>
    <t>50C-238110</t>
  </si>
  <si>
    <t>TRES PROPIETARIOS, NATURALES</t>
  </si>
  <si>
    <t>BODEGA JUNTO CON EL LOTE DE TERRENO CABIDA DE 1.291,39 V2 OSEA 826,49 M2. PLANO DEL LOTEO DE LA URBANIZACON SAN RAFAEL</t>
  </si>
  <si>
    <t>TRES PROPIETARIOS</t>
  </si>
  <si>
    <t>AAA0037OZAW</t>
  </si>
  <si>
    <t>9 50 B 1</t>
  </si>
  <si>
    <t>CL 5C 53B 20</t>
  </si>
  <si>
    <t>50C-588189</t>
  </si>
  <si>
    <t>MATRICULA MATRIZ 50C-5455. EXTENSION DEL INMUEBLE 20.650 M2. LOTE DE TERRENO EL CUAL HACE PARTE DE UNO DE MAYOR EXTENSION</t>
  </si>
  <si>
    <t>CANCELACION HIPOTECA GASESOAS POSTOBON</t>
  </si>
  <si>
    <t>AAA0037OZPA</t>
  </si>
  <si>
    <t>9 53 3</t>
  </si>
  <si>
    <t>KR 53F 5C 72</t>
  </si>
  <si>
    <t>50C-172313</t>
  </si>
  <si>
    <t>MATRICULAS DERIVADAS 50C307945 Y 313087. GLOBO DE TERRENO DE LA URB SAN RAFAEL AREA DE 1.274,06 V2</t>
  </si>
  <si>
    <t>AAA0037OZTD</t>
  </si>
  <si>
    <t>9 53 11</t>
  </si>
  <si>
    <t>KR 53F 5C 88</t>
  </si>
  <si>
    <t>50C-224322</t>
  </si>
  <si>
    <t>LOT DE TERRENO Y EDIFICACION</t>
  </si>
  <si>
    <t>AAA0037OZEP</t>
  </si>
  <si>
    <t>9 53 7</t>
  </si>
  <si>
    <t>KR 53F 5C 20</t>
  </si>
  <si>
    <t>50C-277201</t>
  </si>
  <si>
    <t>CABIDA APROXIMADA DE 1298,86. LOTE DE TERREN JUNTO CON UNA EDIFICACION INDUSTRIAL</t>
  </si>
  <si>
    <t>004301001002</t>
  </si>
  <si>
    <t>AAA0037OYYX</t>
  </si>
  <si>
    <t>9 50 6</t>
  </si>
  <si>
    <t>AK 50 5C 09</t>
  </si>
  <si>
    <t>Espacio público</t>
  </si>
  <si>
    <t>50C- 1191501</t>
  </si>
  <si>
    <t>Hace parte de un englobe. MATRICULA MATRIZ 50C-109122. MATRICULAS DERIVADAS 50C-1302429,1367756, 1367759.</t>
  </si>
  <si>
    <t>CESION A TITULO GRATUITO A DISTRITO CAPITAL</t>
  </si>
  <si>
    <t xml:space="preserve">E.p. </t>
  </si>
  <si>
    <t>AAA0037OZWW</t>
  </si>
  <si>
    <t>50 S 27769</t>
  </si>
  <si>
    <t>AC 9 50 51</t>
  </si>
  <si>
    <t>50C-1333948</t>
  </si>
  <si>
    <t>BANCOLOMBIA</t>
  </si>
  <si>
    <t>FOLIO MATRIZ 50C-5445. LOTE DE TERRENO 35.132,50 M2.</t>
  </si>
  <si>
    <t>004301001025</t>
  </si>
  <si>
    <t>AAA0037OZZE</t>
  </si>
  <si>
    <t>9 50 5</t>
  </si>
  <si>
    <t>AK 50 5F 99</t>
  </si>
  <si>
    <t>ANDEN</t>
  </si>
  <si>
    <t>AAA0037PABS</t>
  </si>
  <si>
    <t>9 50 1</t>
  </si>
  <si>
    <t>AK 50 5C 81</t>
  </si>
  <si>
    <t>50C-1141725</t>
  </si>
  <si>
    <t>DESENGLOBE DE UN PORCION DEL INMUEBLE POR 8.780.00 M2. FOLIO MATRIZ 50C-109122</t>
  </si>
  <si>
    <t>004301001001</t>
  </si>
  <si>
    <t>AAA0037OYXR</t>
  </si>
  <si>
    <t>9 50 11</t>
  </si>
  <si>
    <t>Distrital</t>
  </si>
  <si>
    <t>AK 50 5C 13</t>
  </si>
  <si>
    <t>50C-1302429</t>
  </si>
  <si>
    <t>CERRADO</t>
  </si>
  <si>
    <t>Zona de cesion al distrito por afectacion vial avenida Batallon Caldas. Area 1766,05 m2. MATRICULA MATIZ 50C-1191601</t>
  </si>
  <si>
    <t>CESION DE ZONA A DISTRITO CAPITAL</t>
  </si>
  <si>
    <t>AAA0183RZYX</t>
  </si>
  <si>
    <t>4301010000000000</t>
  </si>
  <si>
    <t>AC 9 50 15</t>
  </si>
  <si>
    <t>Comercio en centros comerciales</t>
  </si>
  <si>
    <t>50C1619415</t>
  </si>
  <si>
    <t>BEEPER WEX S.A /  CORPORTAXIS S.A</t>
  </si>
  <si>
    <t>GLOBO DE TERRENO FORMADO POR VARIOS LOTES CON UN AREA DE 14.401,49 M2. MATRICULA MATRIZ 50C-130247 Y 130248</t>
  </si>
  <si>
    <t>ENGLOBE</t>
  </si>
  <si>
    <t xml:space="preserve">CC. Carrera </t>
  </si>
  <si>
    <t>A.T.C. por piso</t>
  </si>
  <si>
    <t>Piso 1</t>
  </si>
  <si>
    <t>Pisos 2 a 4</t>
  </si>
  <si>
    <t>Pisos 5 &gt;</t>
  </si>
  <si>
    <t xml:space="preserve">valor </t>
  </si>
  <si>
    <t>AMBITO DE FORMULACION DEL PLAN PARCIAL</t>
  </si>
  <si>
    <t>MALLA VIAL EXISTENTE - (MVE)</t>
  </si>
  <si>
    <t>AMD 1 - Andén Carrera 50</t>
  </si>
  <si>
    <t>AMD 2 - Andén Carrera 50</t>
  </si>
  <si>
    <t>ESPACIO PUBLICO EXISTENTE</t>
  </si>
  <si>
    <t>AMD 3 - Parque Carrera 50 x Calle 5c</t>
  </si>
  <si>
    <t>AREA VERIFICACION</t>
  </si>
  <si>
    <t>AREA TOTAL A CEDER NORMA</t>
  </si>
  <si>
    <t>AREA TOTAL A CEDER M.O.</t>
  </si>
  <si>
    <t>MALLA VIAL PROYECTADA (Distrito)</t>
  </si>
  <si>
    <t>Locales</t>
  </si>
  <si>
    <t>Vía vehicular 1 - Calle 5c - ampliación</t>
  </si>
  <si>
    <t>Vía vehicular 2 - Nueva</t>
  </si>
  <si>
    <t>Vía vehicular 3 Nueva</t>
  </si>
  <si>
    <t>Vía vehicular 4 - Carrera 53 f - ampliación</t>
  </si>
  <si>
    <t>Vías peatonales</t>
  </si>
  <si>
    <t>General</t>
  </si>
  <si>
    <t>Reservas viales</t>
  </si>
  <si>
    <t>AREA DE TERRENO</t>
  </si>
  <si>
    <t>CONTROLES AMBIENTALES</t>
  </si>
  <si>
    <t>AREA TERRENO SIN CONTROLES AMBIENTALES</t>
  </si>
  <si>
    <t xml:space="preserve">CESION DE ESPACIO PUBLICO </t>
  </si>
  <si>
    <t>Cesión Espacio Público (Vías vehiculares + peatonales)</t>
  </si>
  <si>
    <t>Cesión Espacio Público (Zona Verde, plazas, plazoletas)</t>
  </si>
  <si>
    <t>Cesión Espacio Público (Equipamientos)</t>
  </si>
  <si>
    <t>AREA UTIL (Desarrollable)</t>
  </si>
  <si>
    <t>RETIROS ANTEJARDIN (E.P. privado de uso público)</t>
  </si>
  <si>
    <t>AREA UTIL (Localización edificación)</t>
  </si>
  <si>
    <t>CATASTRAL</t>
  </si>
  <si>
    <t>JURIDICO</t>
  </si>
  <si>
    <t>AREA TERRENO
AB-AMD</t>
  </si>
  <si>
    <t>PROPUESTA DEL MODELO DE OCUPACION</t>
  </si>
  <si>
    <t>Modelo de ocupación original (autocad)</t>
  </si>
  <si>
    <t>Modelo de ocupación ajustado (por lote)</t>
  </si>
  <si>
    <t>Modelo de ocupación por UAU ajustado (por UAU)</t>
  </si>
  <si>
    <t>Cesiones Públicas</t>
  </si>
  <si>
    <t>Areas Privadas</t>
  </si>
  <si>
    <t>Area x lote</t>
  </si>
  <si>
    <t>% UAU</t>
  </si>
  <si>
    <t>Area x UAU</t>
  </si>
  <si>
    <t>Area 
Construida</t>
  </si>
  <si>
    <t>VIAL</t>
  </si>
  <si>
    <t>EP</t>
  </si>
  <si>
    <t>S-EQ</t>
  </si>
  <si>
    <t>Desarrollable</t>
  </si>
  <si>
    <t>Antejardín</t>
  </si>
  <si>
    <t>Area Util
AD - Antejardín</t>
  </si>
  <si>
    <t>% au / ad</t>
  </si>
  <si>
    <t>Area Bruta</t>
  </si>
  <si>
    <t>Construida</t>
  </si>
  <si>
    <t xml:space="preserve">Desarrollable </t>
  </si>
  <si>
    <t>Area Util</t>
  </si>
  <si>
    <t>#</t>
  </si>
  <si>
    <t>t</t>
  </si>
  <si>
    <t xml:space="preserve">Alcaldía Distrital de Bogotá  </t>
  </si>
  <si>
    <t>Terreno</t>
  </si>
  <si>
    <t>Cesión Norma</t>
  </si>
  <si>
    <t>Cesiones  MO</t>
  </si>
  <si>
    <t>Diferencia</t>
  </si>
  <si>
    <t xml:space="preserve">via </t>
  </si>
  <si>
    <t>ep</t>
  </si>
  <si>
    <t>s_eq</t>
  </si>
  <si>
    <t xml:space="preserve">Cesiones ajustadas = </t>
  </si>
  <si>
    <t>Area Desarrollable original</t>
  </si>
  <si>
    <t>Area util original</t>
  </si>
  <si>
    <t>Antejardin original</t>
  </si>
  <si>
    <t>Area Desarrollable ajustada</t>
  </si>
  <si>
    <t>Area util ajustada</t>
  </si>
  <si>
    <t>Antejardin ajustada</t>
  </si>
  <si>
    <t>RESUMEN MODELO DE OCUPACION</t>
  </si>
  <si>
    <t>Area Terreno</t>
  </si>
  <si>
    <t xml:space="preserve">Cesiones </t>
  </si>
  <si>
    <t>Área Útil</t>
  </si>
  <si>
    <t>Área Huella P1</t>
  </si>
  <si>
    <t>Vías</t>
  </si>
  <si>
    <t>Espacio Público</t>
  </si>
  <si>
    <t>Cesión suelo E.Q.</t>
  </si>
  <si>
    <t>AREA TERRENO</t>
  </si>
  <si>
    <t>PROTECCION A MORADORES</t>
  </si>
  <si>
    <t>FORMA DE PAGO</t>
  </si>
  <si>
    <t xml:space="preserve">TIPO DE PARTICIPACION </t>
  </si>
  <si>
    <t>Incluido en SIM UF</t>
  </si>
  <si>
    <t>Costo Adicional en SIM UF</t>
  </si>
  <si>
    <t>TIPO DE COMPENSACION</t>
  </si>
  <si>
    <t>Lote Codigo</t>
  </si>
  <si>
    <t>% x Area</t>
  </si>
  <si>
    <t>No. propietarios</t>
  </si>
  <si>
    <t>Participa (Aporta inmueble)</t>
  </si>
  <si>
    <t xml:space="preserve">No Participan </t>
  </si>
  <si>
    <t>Participa (Inversionista)</t>
  </si>
  <si>
    <t>Suelo</t>
  </si>
  <si>
    <t>Construcción</t>
  </si>
  <si>
    <t>Actividad económica</t>
  </si>
  <si>
    <t>Propietario Inmueble</t>
  </si>
  <si>
    <t>Actividad Económica</t>
  </si>
  <si>
    <t>m2 a m2 de cnt.</t>
  </si>
  <si>
    <t>Compra</t>
  </si>
  <si>
    <t>(inmueble+capital)</t>
  </si>
  <si>
    <t xml:space="preserve">Compra </t>
  </si>
  <si>
    <t>Lucro Cesante</t>
  </si>
  <si>
    <t>Arriendo Transitorio</t>
  </si>
  <si>
    <t xml:space="preserve">TOTAL </t>
  </si>
  <si>
    <t>UAU 1</t>
  </si>
  <si>
    <t>El proyecto paga el inmueble con local o pago de lote en SIM uf</t>
  </si>
  <si>
    <t>Sin indemnización: Los costos de la actividad se cargan al negocio de gasosas</t>
  </si>
  <si>
    <t>UAU 2</t>
  </si>
  <si>
    <t>El proyecto paga el inmueble como una venta o lote en SIM uf</t>
  </si>
  <si>
    <t>Lucro Cesante - Arriendo - Traslado</t>
  </si>
  <si>
    <t>UAU 3</t>
  </si>
  <si>
    <t>UAU 4</t>
  </si>
  <si>
    <t>Sin idemnización o compra</t>
  </si>
  <si>
    <t>UAU 5</t>
  </si>
  <si>
    <t>UAU 6</t>
  </si>
  <si>
    <t>Sin idemnización: Los costos se cargan a la actividad económica actual</t>
  </si>
  <si>
    <t>UAU 7</t>
  </si>
  <si>
    <t>UAU 8</t>
  </si>
  <si>
    <t>Si / No Participa</t>
  </si>
  <si>
    <t>Incluido en SIM UF (Negocio Des-Prop. Inm)</t>
  </si>
  <si>
    <t>Valor Suelo+Cnt + Protección a Moradores</t>
  </si>
  <si>
    <t>Suelo+ Cnt</t>
  </si>
  <si>
    <t>Código Lote</t>
  </si>
  <si>
    <t>No. Propietarios por lote</t>
  </si>
  <si>
    <t>Propietarios Inmuebles</t>
  </si>
  <si>
    <t>Propietarios Actividad Económica</t>
  </si>
  <si>
    <r>
      <t xml:space="preserve">Compra 
</t>
    </r>
    <r>
      <rPr>
        <sz val="11"/>
        <color theme="0"/>
        <rFont val="Swis721 LtCn BT"/>
        <family val="2"/>
      </rPr>
      <t>(Vcom-Dem)</t>
    </r>
  </si>
  <si>
    <t>TOTAL</t>
  </si>
  <si>
    <t>area</t>
  </si>
  <si>
    <t>valor m2 (2027)</t>
  </si>
  <si>
    <t>Total lucro cesante</t>
  </si>
  <si>
    <t>Trayectos por propietario</t>
  </si>
  <si>
    <t>Trayectos</t>
  </si>
  <si>
    <t>valor / trayecto</t>
  </si>
  <si>
    <t>Total mudanza</t>
  </si>
  <si>
    <t>No. Propietarios</t>
  </si>
  <si>
    <t>Meses por propietario</t>
  </si>
  <si>
    <t>Total meses</t>
  </si>
  <si>
    <t>Arriendo mensual residencial</t>
  </si>
  <si>
    <t>Total arriendos</t>
  </si>
  <si>
    <t>21</t>
  </si>
  <si>
    <t>1</t>
  </si>
  <si>
    <t>20</t>
  </si>
  <si>
    <t>18</t>
  </si>
  <si>
    <t>2</t>
  </si>
  <si>
    <t>19</t>
  </si>
  <si>
    <t>16</t>
  </si>
  <si>
    <t>17</t>
  </si>
  <si>
    <t>13</t>
  </si>
  <si>
    <t>3</t>
  </si>
  <si>
    <t>15</t>
  </si>
  <si>
    <t>14</t>
  </si>
  <si>
    <t>12</t>
  </si>
  <si>
    <t>11</t>
  </si>
  <si>
    <t>06</t>
  </si>
  <si>
    <t>4</t>
  </si>
  <si>
    <t>10</t>
  </si>
  <si>
    <t>05</t>
  </si>
  <si>
    <t>09</t>
  </si>
  <si>
    <t>07</t>
  </si>
  <si>
    <t>04</t>
  </si>
  <si>
    <t>08</t>
  </si>
  <si>
    <t>30</t>
  </si>
  <si>
    <t>5</t>
  </si>
  <si>
    <t>03</t>
  </si>
  <si>
    <t>29</t>
  </si>
  <si>
    <t>28</t>
  </si>
  <si>
    <t>6</t>
  </si>
  <si>
    <t>22</t>
  </si>
  <si>
    <t>27</t>
  </si>
  <si>
    <t>7</t>
  </si>
  <si>
    <t>31</t>
  </si>
  <si>
    <t>8</t>
  </si>
  <si>
    <t>Area Lote</t>
  </si>
  <si>
    <t>Costo Política Protección Moradores</t>
  </si>
  <si>
    <t>Aportes por Cesiones Modelo de Ocupación ($)</t>
  </si>
  <si>
    <t>CARGAS ADECUACIONES</t>
  </si>
  <si>
    <t>Otros aportes a cargas ($)</t>
  </si>
  <si>
    <t>Area Desarrollable</t>
  </si>
  <si>
    <t>Area Retiros</t>
  </si>
  <si>
    <t>Area útil</t>
  </si>
  <si>
    <t>TOTAL CARGAS MODELO</t>
  </si>
  <si>
    <t xml:space="preserve">Otros aportes </t>
  </si>
  <si>
    <t>Protección Moradores</t>
  </si>
  <si>
    <t>Costos Formulación</t>
  </si>
  <si>
    <t>Cosotos Operación REnoBo</t>
  </si>
  <si>
    <t>APORTE CARGA REDES SSPP LOCAL (art. 321 dec. 555 / 2021)</t>
  </si>
  <si>
    <t>Cesion Suelo</t>
  </si>
  <si>
    <t xml:space="preserve"> Valor de Referencia</t>
  </si>
  <si>
    <t xml:space="preserve">Factor </t>
  </si>
  <si>
    <t xml:space="preserve">Carga SSPP </t>
  </si>
  <si>
    <t>Area Desarrollable 1</t>
  </si>
  <si>
    <t>Area total Construida</t>
  </si>
  <si>
    <t>Pisos</t>
  </si>
  <si>
    <t>Equipamiento Comunal Privado</t>
  </si>
  <si>
    <t>Primer Piso</t>
  </si>
  <si>
    <t>Piso 2 a 4</t>
  </si>
  <si>
    <t>Pisos 5&gt;</t>
  </si>
  <si>
    <t>uau</t>
  </si>
  <si>
    <t>Area Util Original</t>
  </si>
  <si>
    <t>Area Util Ajustada 96,301 %</t>
  </si>
  <si>
    <t>Incremento</t>
  </si>
  <si>
    <t>% incremento</t>
  </si>
  <si>
    <t>% incremento Beneficios</t>
  </si>
  <si>
    <t>Usos</t>
  </si>
  <si>
    <r>
      <t xml:space="preserve">Area total construida con ECP 
</t>
    </r>
    <r>
      <rPr>
        <b/>
        <sz val="8"/>
        <color theme="1"/>
        <rFont val="Swis721 LtCn BT"/>
        <family val="2"/>
      </rPr>
      <t>(incluye areas libres terraza último piso)</t>
    </r>
    <r>
      <rPr>
        <b/>
        <sz val="14"/>
        <color theme="1"/>
        <rFont val="Swis721 LtCn BT"/>
        <family val="2"/>
      </rPr>
      <t>=</t>
    </r>
  </si>
  <si>
    <t>Area total construida sin ECP =</t>
  </si>
  <si>
    <t>ATC Modelo</t>
  </si>
  <si>
    <t>AREAS AJUSTE CON DE ACUERDO CON % VIS / VIP</t>
  </si>
  <si>
    <t>OTROS USOS</t>
  </si>
  <si>
    <t>NO VIS MODELO</t>
  </si>
  <si>
    <t>I.C.E. para cálculo VIS/VIP</t>
  </si>
  <si>
    <t>Obligación BASE VIS/VIP</t>
  </si>
  <si>
    <t xml:space="preserve">DISTRIBUCION DE VIS/VIP </t>
  </si>
  <si>
    <t>AREA NO VIS AJUSTADA</t>
  </si>
  <si>
    <t>VERIFICACION CUMPLIMIENTO % VIS-VIP RU</t>
  </si>
  <si>
    <t>I.C.E Otros Usos</t>
  </si>
  <si>
    <t>I.C.E No Vis</t>
  </si>
  <si>
    <t>Total I.C.E para % vis</t>
  </si>
  <si>
    <t>h_VIS_RU</t>
  </si>
  <si>
    <t>i_VIP RU</t>
  </si>
  <si>
    <t>Obligacion 
UAU 1 y 8</t>
  </si>
  <si>
    <t>Obligación 
UAU 2 a 7</t>
  </si>
  <si>
    <t>ATC 
(VIS+VIP RU+ Otros Usos)</t>
  </si>
  <si>
    <t>A.T.C. ajuste</t>
  </si>
  <si>
    <t>Area Común A.C.</t>
  </si>
  <si>
    <t>I.C.E.</t>
  </si>
  <si>
    <t>ATC</t>
  </si>
  <si>
    <t>I.C.E</t>
  </si>
  <si>
    <t>No. Locales</t>
  </si>
  <si>
    <t>No. Oficinas</t>
  </si>
  <si>
    <t>No. Unidades</t>
  </si>
  <si>
    <t>No. No Vis</t>
  </si>
  <si>
    <t>No. Vip</t>
  </si>
  <si>
    <t>No. Vis</t>
  </si>
  <si>
    <t>No. VIS_RU</t>
  </si>
  <si>
    <t>No. VIP Ru</t>
  </si>
  <si>
    <t>ATC No Vis</t>
  </si>
  <si>
    <t>A.Común</t>
  </si>
  <si>
    <t>No. viv</t>
  </si>
  <si>
    <t>I.C.E. O.U + NOVIS</t>
  </si>
  <si>
    <t>I.C.E VIS RU</t>
  </si>
  <si>
    <t>I.C.E. VIP</t>
  </si>
  <si>
    <t>CARGA CALIFICACION SUELO VIS/VIP</t>
  </si>
  <si>
    <t>COMPENSACION VIP VIS TOTAL</t>
  </si>
  <si>
    <t>Forma de cumplimiento</t>
  </si>
  <si>
    <t>DISTRIBUCION VIS VIP 1 y 8 en 2 a 7</t>
  </si>
  <si>
    <t>VIS - RU</t>
  </si>
  <si>
    <t xml:space="preserve">Area </t>
  </si>
  <si>
    <t>En sitio</t>
  </si>
  <si>
    <t>En dinero
(a distribuir en UAUs 2 a 7)</t>
  </si>
  <si>
    <t xml:space="preserve">OBLIGACION UAU 2 - 7 </t>
  </si>
  <si>
    <t>Obligacion total distribuida</t>
  </si>
  <si>
    <t xml:space="preserve">Obligación VIS - VIP de 1 y 8 distribuida en 2 a 7 </t>
  </si>
  <si>
    <t>En dinero</t>
  </si>
  <si>
    <t>A.T.C.</t>
  </si>
  <si>
    <t>ESTACIONAMIENTOS (CON A.T.C.)</t>
  </si>
  <si>
    <t>ESTACIONAMIENTOS (con I.C.E.)</t>
  </si>
  <si>
    <t>RESIDENCIAL</t>
  </si>
  <si>
    <t>Area (% / A.T.C.)</t>
  </si>
  <si>
    <t>No. Estacionamientos</t>
  </si>
  <si>
    <t>No. de Sótanos</t>
  </si>
  <si>
    <t>Area (% / I.C.E.)</t>
  </si>
  <si>
    <t>Estacionamientos Bicicleta + Vehículos Visitantes</t>
  </si>
  <si>
    <t>No. Est. Privados</t>
  </si>
  <si>
    <t>No. Sótanos</t>
  </si>
  <si>
    <t>% bc + visitantes</t>
  </si>
  <si>
    <t>Bicicleta</t>
  </si>
  <si>
    <t>VehiVisita</t>
  </si>
  <si>
    <t>SIMULACION URBANISTICO - FINANCIERA</t>
  </si>
  <si>
    <t xml:space="preserve">Area Desarrollable </t>
  </si>
  <si>
    <t>AREA VENDIBLE (I.C.E.)</t>
  </si>
  <si>
    <t>VALOR VENTAS</t>
  </si>
  <si>
    <t xml:space="preserve">Valor Ventas: </t>
  </si>
  <si>
    <t>I.C.E. TOTAL</t>
  </si>
  <si>
    <t>Total I.C.E.</t>
  </si>
  <si>
    <t>TOTAL Ventas usos</t>
  </si>
  <si>
    <t>$ estacionamientos</t>
  </si>
  <si>
    <t>TOTAL VENTAS</t>
  </si>
  <si>
    <t>EQUIPAMIENTO COMUNAL PRIVADO</t>
  </si>
  <si>
    <t>Uso</t>
  </si>
  <si>
    <t xml:space="preserve">area </t>
  </si>
  <si>
    <t>ECP</t>
  </si>
  <si>
    <t>EQUIPAMIENTO COMUNAL PRIVADO (E.C.P.)</t>
  </si>
  <si>
    <t>ECP total</t>
  </si>
  <si>
    <t>Areas Libres</t>
  </si>
  <si>
    <t>Areas Construidas</t>
  </si>
  <si>
    <t>Construido ajuste</t>
  </si>
  <si>
    <t>GRAN TOTAL</t>
  </si>
  <si>
    <t>Verificación % a.c.</t>
  </si>
  <si>
    <t>Z.V. Terraza Ultimo piso</t>
  </si>
  <si>
    <t>Subtotal</t>
  </si>
  <si>
    <t>Otras Areas Libres</t>
  </si>
  <si>
    <t>No. Pisos</t>
  </si>
  <si>
    <t>Piso Comunal</t>
  </si>
  <si>
    <t>Faltante en area común</t>
  </si>
  <si>
    <t>Areas comunes</t>
  </si>
  <si>
    <t>A construir e incluir en SIM-UF</t>
  </si>
  <si>
    <t>Incluidas en A.T.C.</t>
  </si>
  <si>
    <t>AREA CONSTRUIBLE</t>
  </si>
  <si>
    <t>COSTO DIRECTO DE CONSTRUCCIóN</t>
  </si>
  <si>
    <t>URBANISMO INTERNO</t>
  </si>
  <si>
    <t>COSTO INDIRECTO</t>
  </si>
  <si>
    <t>COSTO POLITICA DE PROTECCION A MORADORES</t>
  </si>
  <si>
    <t>COSTO DE CARGAS (ADECUACION)</t>
  </si>
  <si>
    <t>COSTO DE FORMULACION</t>
  </si>
  <si>
    <t>Costo Compensación Vis/Vip</t>
  </si>
  <si>
    <t>Costos Operador Urbano</t>
  </si>
  <si>
    <t xml:space="preserve">TOTAL COSTOS </t>
  </si>
  <si>
    <t>Cargas fijas</t>
  </si>
  <si>
    <t>Cargas Movilizables</t>
  </si>
  <si>
    <t>UTILIDAD</t>
  </si>
  <si>
    <t>TOTAL COSTOS + UTILIDAD</t>
  </si>
  <si>
    <t>COSTO RESIDUAL DEL LOTE</t>
  </si>
  <si>
    <t xml:space="preserve">Valor por m2 </t>
  </si>
  <si>
    <t>valor inicial lote</t>
  </si>
  <si>
    <t>Mayor Valor</t>
  </si>
  <si>
    <t>Area estacionamientos</t>
  </si>
  <si>
    <t>A.T.C. 
Pisos Superiores</t>
  </si>
  <si>
    <t>Total A.T.C.</t>
  </si>
  <si>
    <t>TOTAL UTILIDAD</t>
  </si>
  <si>
    <t>APORTES INICIALES CARGAS LOCALES DE MODELO</t>
  </si>
  <si>
    <t>APORTES REPARTO</t>
  </si>
  <si>
    <t>REPARTO COMPENSACON CARGAS FIJAS + CARGAS MOVILIZABLES</t>
  </si>
  <si>
    <t>TOTAL APORTES
EQUILIBRADOS</t>
  </si>
  <si>
    <t>Verificación Reparto</t>
  </si>
  <si>
    <t>APORTES A CARGAS FIJOS</t>
  </si>
  <si>
    <t>APORTES A CARGAS MOVILIZABLES</t>
  </si>
  <si>
    <t>APORTES TOTAL MODELO</t>
  </si>
  <si>
    <t>VENTAS TOTALES</t>
  </si>
  <si>
    <t>FACTOR
REPARTO C&amp;B</t>
  </si>
  <si>
    <t>REPARTO POR BENEFICIOS</t>
  </si>
  <si>
    <t>REPARTO POR CARGAS</t>
  </si>
  <si>
    <t>APORTES FIJOS</t>
  </si>
  <si>
    <t xml:space="preserve">Total cargas a repartir </t>
  </si>
  <si>
    <t>% para reparto</t>
  </si>
  <si>
    <t xml:space="preserve">Carga fija </t>
  </si>
  <si>
    <t>Cargas movilizables</t>
  </si>
  <si>
    <t xml:space="preserve">SUELO </t>
  </si>
  <si>
    <t>Cargas fijas (Adecuación
 VIA+EP+SEQ)</t>
  </si>
  <si>
    <t>Total Aportes fijos</t>
  </si>
  <si>
    <t>Costo Formulación</t>
  </si>
  <si>
    <t>Costos Renobo</t>
  </si>
  <si>
    <t>Redes SSPP Local</t>
  </si>
  <si>
    <t>Subtotal cargas movilizables</t>
  </si>
  <si>
    <t>Factor PP</t>
  </si>
  <si>
    <t>Beneficios equilibrados</t>
  </si>
  <si>
    <t>Cargas Equilibradas</t>
  </si>
  <si>
    <t>SUELO</t>
  </si>
  <si>
    <t>Cargas fijas (VIA+EP+SEQ)</t>
  </si>
  <si>
    <t>Total Cargas fijas</t>
  </si>
  <si>
    <t>Fondo compensación por suelo + adecuaciones</t>
  </si>
  <si>
    <t xml:space="preserve">Compensacion </t>
  </si>
  <si>
    <t>Total cargas movilizables</t>
  </si>
  <si>
    <t>Ventas totales</t>
  </si>
  <si>
    <t>Aporte a cargas equilibrados</t>
  </si>
  <si>
    <t>Factor</t>
  </si>
  <si>
    <t>Verificación</t>
  </si>
  <si>
    <t>AREA TOTAL A CONSTRUIR (Usos + Estacionamientos + ECP)</t>
  </si>
  <si>
    <t>COSTOS DIRECTOS DE CONSTRUCCION (C.D.)</t>
  </si>
  <si>
    <t>COSTOS INDIRECTOS</t>
  </si>
  <si>
    <t>TOTAL 
COSTOS DIRECTOS 
+
OTROS COSTOS</t>
  </si>
  <si>
    <t>UTILIDAD (U)</t>
  </si>
  <si>
    <t>CD+OC+U</t>
  </si>
  <si>
    <t>VALOR RESIDUAL LOTE</t>
  </si>
  <si>
    <t>PLUVALIA PROYECTO
(a favor del promotor)</t>
  </si>
  <si>
    <t>No. estacionamientos</t>
  </si>
  <si>
    <t>Ventas estacionamientos</t>
  </si>
  <si>
    <t>A.T.C. Usos</t>
  </si>
  <si>
    <t>Area Estacionamientos</t>
  </si>
  <si>
    <t>Area Total a construir</t>
  </si>
  <si>
    <t>Costo Directo Usos</t>
  </si>
  <si>
    <t>Costo Directo Estacionamientos</t>
  </si>
  <si>
    <t>Urbanismo interno</t>
  </si>
  <si>
    <t>TOTAL COSTO DIRECTO</t>
  </si>
  <si>
    <r>
      <t xml:space="preserve">Costos Indirectos de construcción </t>
    </r>
    <r>
      <rPr>
        <sz val="10"/>
        <color theme="0"/>
        <rFont val="Swis721 LtCn BT"/>
        <family val="2"/>
      </rPr>
      <t>(ventas, gerencia, diseños, intereses, admon…)</t>
    </r>
  </si>
  <si>
    <t>Costo Política Protección a Moradores</t>
  </si>
  <si>
    <t>Costo Cargas de adecuación</t>
  </si>
  <si>
    <t>Costos Operador Urbano
Renobo</t>
  </si>
  <si>
    <t>Pagan compensación por carga fija</t>
  </si>
  <si>
    <t>Reciben compensación por carga fija</t>
  </si>
  <si>
    <t>Pagan obligación VIS / VIP en dinero</t>
  </si>
  <si>
    <t>Reciben obligación VIS / VIP en dinero</t>
  </si>
  <si>
    <t>TOTAL COSTOS INDIRECTOS</t>
  </si>
  <si>
    <t>Utilidad Total</t>
  </si>
  <si>
    <t>$ total</t>
  </si>
  <si>
    <t>$ unitarios</t>
  </si>
  <si>
    <t>$/m2 Valor Ref Catastro 2026</t>
  </si>
  <si>
    <t>Plusvalia</t>
  </si>
  <si>
    <t>Decripción</t>
  </si>
  <si>
    <t xml:space="preserve">Indice </t>
  </si>
  <si>
    <t>AREA POLIGONO</t>
  </si>
  <si>
    <t>MALLA VIAL EXISTENTE</t>
  </si>
  <si>
    <t>ESPACIO PÚBLICO EXISTENTE</t>
  </si>
  <si>
    <t>MALLA VIAL PROYECTADA</t>
  </si>
  <si>
    <t>AREA DE TERRENO SIN CONTROLES AMBIENTALES</t>
  </si>
  <si>
    <t>AREAS CESIONES URBANÍSTICAS</t>
  </si>
  <si>
    <t>AREA RETIROS (Antejardín)</t>
  </si>
  <si>
    <t>AREA UTIL (Neta)</t>
  </si>
  <si>
    <t>RESUMEN SIMULACION URBANISTICO FINANCIERA</t>
  </si>
  <si>
    <t>COSTOS DIRECTOS</t>
  </si>
  <si>
    <t xml:space="preserve">Costo construcción usos </t>
  </si>
  <si>
    <t>Costo construcción estacionamientos</t>
  </si>
  <si>
    <t>Costo construcción Equipamiento Comunal Privado</t>
  </si>
  <si>
    <t>Costo urbanismo interno</t>
  </si>
  <si>
    <t>Costos Indirectos de construcción (ventas, gerencia, diseños, intereses, admon…)</t>
  </si>
  <si>
    <t>UTILIDAD DE PROYECTO</t>
  </si>
  <si>
    <t>VALOR LOTE RESIDUAL</t>
  </si>
  <si>
    <t>VALOR LOTE INICIAL (Valor Referencia Catastro 2026)</t>
  </si>
  <si>
    <t>MAYOR VALOR DE SUELO POR PROYECTO</t>
  </si>
  <si>
    <t>Valor unitario (Valor Referencia Catastro 2026)</t>
  </si>
  <si>
    <t>Valor unitario promedio del suelo (residual del proyecto)</t>
  </si>
  <si>
    <t>m2/local</t>
  </si>
  <si>
    <t>No. de Viviendas totales</t>
  </si>
  <si>
    <t>No. de habitantes</t>
  </si>
  <si>
    <t>hab/viv.</t>
  </si>
  <si>
    <t>Cesión de Espacio Público Efectivo por Habitante</t>
  </si>
  <si>
    <t>m2/hab.</t>
  </si>
  <si>
    <t>Area para cálculo obligación VIS / VIP (I.C.E. Otros Usos + No Vis)</t>
  </si>
  <si>
    <t xml:space="preserve">   I.C.E. VIS RU</t>
  </si>
  <si>
    <t xml:space="preserve">   I.C.E. VIP RU</t>
  </si>
  <si>
    <t>m2 - $</t>
  </si>
  <si>
    <t xml:space="preserve">      Cesión Espacio Público (Equipamientos) Norma</t>
  </si>
  <si>
    <t>SIMULACION URBANíSTICO FINANCIERA</t>
  </si>
  <si>
    <t>TOTALES</t>
  </si>
  <si>
    <t>Area Total Construida</t>
  </si>
  <si>
    <t>Area común</t>
  </si>
  <si>
    <t>No. ESTACIONAMIENTOS VENDIBLES</t>
  </si>
  <si>
    <t>Valor ventas usos</t>
  </si>
  <si>
    <t xml:space="preserve">Valor Ventas Estacionamientos </t>
  </si>
  <si>
    <t xml:space="preserve">COSTOS INDIRECTOS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</si>
</sst>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%"/>
    <numFmt numFmtId="167" formatCode="_(* #,##0.000_);_(* \(#,##0.000\);_(* &quot;-&quot;??_);_(@_)"/>
    <numFmt numFmtId="168" formatCode="_(&quot;$&quot;\ * #,##0.00_);_(&quot;$&quot;\ * \(#,##0.00\);_(&quot;$&quot;\ * &quot;-&quot;??_);_(@_)"/>
    <numFmt numFmtId="169" formatCode="_(&quot;$&quot;* #,##0_);_(&quot;$&quot;* \(#,##0\);_(&quot;$&quot;* &quot;-&quot;??_);_(@_)"/>
    <numFmt numFmtId="170" formatCode="_(* #,##0.0000_);_(* \(#,##0.0000\);_(* &quot;-&quot;??_);_(@_)"/>
    <numFmt numFmtId="171" formatCode="_-&quot;$&quot;* #,##0_-;\-&quot;$&quot;* #,##0_-;_-&quot;$&quot;* &quot;-&quot;??_-;_-@_-"/>
    <numFmt numFmtId="172" formatCode="0.0000"/>
    <numFmt numFmtId="173" formatCode="0.000%"/>
    <numFmt numFmtId="174" formatCode="_(* #,##0.000_);_(* \(#,##0.000\);_(* &quot;-&quot;???_);_(@_)"/>
    <numFmt numFmtId="175" formatCode="_(* #,##0.000000_);_(* \(#,##0.000000\);_(* &quot;-&quot;??_);_(@_)"/>
    <numFmt numFmtId="176" formatCode="_(* #,##0.0000000_);_(* \(#,##0.0000000\);_(* &quot;-&quot;???????_);_(@_)"/>
    <numFmt numFmtId="177" formatCode="_(* #,##0_);_(* \(#,##0\);_(* &quot;-&quot;??_);_(@_)"/>
    <numFmt numFmtId="178" formatCode="_(&quot;$&quot;* #,##0.0000_);_(&quot;$&quot;* \(#,##0.0000\);_(&quot;$&quot;* &quot;-&quot;??_);_(@_)"/>
    <numFmt numFmtId="179" formatCode="_(&quot;$&quot;* #,##0.0_);_(&quot;$&quot;* \(#,##0.0\);_(&quot;$&quot;* &quot;-&quot;?_);_(@_)"/>
  </numFmts>
  <fonts count="76">
    <font>
      <sz val="11"/>
      <color theme="1"/>
      <name val="Swis721 LtCn BT"/>
      <family val="2"/>
    </font>
    <font>
      <sz val="11"/>
      <color theme="1"/>
      <name val="Swis721 LtCn BT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Swis721 LtCn BT"/>
      <family val="2"/>
    </font>
    <font>
      <b/>
      <sz val="13"/>
      <color theme="3"/>
      <name val="Swis721 LtCn BT"/>
      <family val="2"/>
    </font>
    <font>
      <b/>
      <sz val="11"/>
      <color theme="3"/>
      <name val="Swis721 LtCn BT"/>
      <family val="2"/>
    </font>
    <font>
      <sz val="11"/>
      <color rgb="FF006100"/>
      <name val="Swis721 LtCn BT"/>
      <family val="2"/>
    </font>
    <font>
      <sz val="11"/>
      <color rgb="FF9C0006"/>
      <name val="Swis721 LtCn BT"/>
      <family val="2"/>
    </font>
    <font>
      <sz val="11"/>
      <color rgb="FF9C5700"/>
      <name val="Swis721 LtCn BT"/>
      <family val="2"/>
    </font>
    <font>
      <sz val="11"/>
      <color rgb="FF3F3F76"/>
      <name val="Swis721 LtCn BT"/>
      <family val="2"/>
    </font>
    <font>
      <b/>
      <sz val="11"/>
      <color rgb="FF3F3F3F"/>
      <name val="Swis721 LtCn BT"/>
      <family val="2"/>
    </font>
    <font>
      <b/>
      <sz val="11"/>
      <color rgb="FFFA7D00"/>
      <name val="Swis721 LtCn BT"/>
      <family val="2"/>
    </font>
    <font>
      <sz val="11"/>
      <color rgb="FFFA7D00"/>
      <name val="Swis721 LtCn BT"/>
      <family val="2"/>
    </font>
    <font>
      <b/>
      <sz val="11"/>
      <color theme="0"/>
      <name val="Swis721 LtCn BT"/>
      <family val="2"/>
    </font>
    <font>
      <sz val="11"/>
      <color rgb="FFFF0000"/>
      <name val="Swis721 LtCn BT"/>
      <family val="2"/>
    </font>
    <font>
      <i/>
      <sz val="11"/>
      <color rgb="FF7F7F7F"/>
      <name val="Swis721 LtCn BT"/>
      <family val="2"/>
    </font>
    <font>
      <b/>
      <sz val="11"/>
      <color theme="1"/>
      <name val="Swis721 LtCn BT"/>
      <family val="2"/>
    </font>
    <font>
      <sz val="11"/>
      <color theme="0"/>
      <name val="Swis721 LtCn BT"/>
      <family val="2"/>
    </font>
    <font>
      <b/>
      <sz val="11"/>
      <name val="Swis721 LtCn BT"/>
      <family val="2"/>
    </font>
    <font>
      <b/>
      <sz val="12"/>
      <color theme="1"/>
      <name val="Swis721 LtCn BT"/>
      <family val="2"/>
    </font>
    <font>
      <b/>
      <sz val="12"/>
      <color theme="0"/>
      <name val="Swis721 LtCn BT"/>
      <family val="2"/>
    </font>
    <font>
      <b/>
      <sz val="11"/>
      <color rgb="FFFF0000"/>
      <name val="Swis721 LtCn BT"/>
      <family val="2"/>
    </font>
    <font>
      <b/>
      <sz val="26"/>
      <color theme="1"/>
      <name val="Swis721 LtCn BT"/>
      <family val="2"/>
    </font>
    <font>
      <sz val="9"/>
      <color rgb="FFFF0000"/>
      <name val="Swis721 LtCn BT"/>
      <family val="2"/>
    </font>
    <font>
      <sz val="11"/>
      <name val="Swis721 LtCn BT"/>
      <family val="2"/>
    </font>
    <font>
      <sz val="6"/>
      <color theme="1"/>
      <name val="Swis721 LtCn BT"/>
      <family val="2"/>
    </font>
    <font>
      <sz val="6"/>
      <color rgb="FFFF0000"/>
      <name val="Swis721 LtCn BT"/>
      <family val="2"/>
    </font>
    <font>
      <b/>
      <sz val="6"/>
      <name val="Swis721 LtCn BT"/>
      <family val="2"/>
    </font>
    <font>
      <b/>
      <sz val="20"/>
      <color theme="1"/>
      <name val="Swis721 LtCn BT"/>
      <family val="2"/>
    </font>
    <font>
      <b/>
      <sz val="14"/>
      <color theme="1"/>
      <name val="Swis721 LtCn BT"/>
      <family val="2"/>
    </font>
    <font>
      <sz val="12"/>
      <color theme="1"/>
      <name val="Swis721 LtCn BT"/>
      <family val="2"/>
    </font>
    <font>
      <sz val="10"/>
      <color rgb="FFFF0000"/>
      <name val="Swis721 LtCn BT"/>
      <family val="2"/>
    </font>
    <font>
      <b/>
      <sz val="10"/>
      <color rgb="FFFF0000"/>
      <name val="Swis721 LtCn BT"/>
      <family val="2"/>
    </font>
    <font>
      <b/>
      <sz val="9"/>
      <color rgb="FFFF0000"/>
      <name val="Swis721 LtCn BT"/>
      <family val="2"/>
    </font>
    <font>
      <b/>
      <sz val="9"/>
      <color theme="0"/>
      <name val="Swis721 LtCn BT"/>
      <family val="2"/>
    </font>
    <font>
      <sz val="9"/>
      <color theme="1"/>
      <name val="Swis721 LtCn BT"/>
      <family val="2"/>
    </font>
    <font>
      <b/>
      <sz val="9"/>
      <color theme="1"/>
      <name val="Swis721 LtCn BT"/>
      <family val="2"/>
    </font>
    <font>
      <b/>
      <sz val="16"/>
      <color theme="1"/>
      <name val="Swis721 LtCn BT"/>
      <family val="2"/>
    </font>
    <font>
      <sz val="9"/>
      <color theme="0"/>
      <name val="Swis721 LtCn BT"/>
      <family val="2"/>
    </font>
    <font>
      <b/>
      <sz val="20"/>
      <color rgb="FFFF0000"/>
      <name val="Swis721 LtCn BT"/>
      <family val="2"/>
    </font>
    <font>
      <b/>
      <sz val="10"/>
      <color theme="1"/>
      <name val="Swis721 LtCn BT"/>
      <family val="2"/>
    </font>
    <font>
      <sz val="11"/>
      <color theme="3" tint="0.249977111117893"/>
      <name val="Swis721 LtCn BT"/>
      <family val="2"/>
    </font>
    <font>
      <b/>
      <sz val="16"/>
      <name val="Swis721 LtCn BT"/>
      <family val="2"/>
    </font>
    <font>
      <sz val="8"/>
      <name val="Swis721 LtCn BT"/>
      <family val="2"/>
    </font>
    <font>
      <b/>
      <sz val="8"/>
      <color theme="0"/>
      <name val="Swis721 LtCn BT"/>
      <family val="2"/>
    </font>
    <font>
      <b/>
      <sz val="10"/>
      <color theme="0"/>
      <name val="Swis721 LtCn BT"/>
      <family val="2"/>
    </font>
    <font>
      <b/>
      <sz val="14"/>
      <color theme="0"/>
      <name val="Swis721 LtCn BT"/>
      <family val="2"/>
    </font>
    <font>
      <sz val="8"/>
      <color theme="0"/>
      <name val="Swis721 LtCn BT"/>
      <family val="2"/>
    </font>
    <font>
      <sz val="8"/>
      <color theme="1"/>
      <name val="Swis721 LtCn BT"/>
      <family val="2"/>
    </font>
    <font>
      <b/>
      <sz val="8"/>
      <color theme="1"/>
      <name val="Swis721 LtCn BT"/>
      <family val="2"/>
    </font>
    <font>
      <b/>
      <sz val="8"/>
      <name val="Swis721 LtCn BT"/>
      <family val="2"/>
    </font>
    <font>
      <sz val="10"/>
      <color theme="1"/>
      <name val="Swis721 LtCn BT"/>
      <family val="2"/>
    </font>
    <font>
      <sz val="8"/>
      <color theme="0" tint="-0.249977111117893"/>
      <name val="Swis721 LtCn BT"/>
      <family val="2"/>
    </font>
    <font>
      <b/>
      <sz val="8"/>
      <color theme="0" tint="-0.249977111117893"/>
      <name val="Swis721 LtCn BT"/>
      <family val="2"/>
    </font>
    <font>
      <sz val="8"/>
      <color rgb="FFFF0000"/>
      <name val="Swis721 LtCn BT"/>
      <family val="2"/>
    </font>
    <font>
      <sz val="10"/>
      <color theme="0"/>
      <name val="Swis721 LtCn BT"/>
      <family val="2"/>
    </font>
    <font>
      <sz val="11"/>
      <color theme="0" tint="-0.249977111117893"/>
      <name val="Swis721 LtCn BT"/>
      <family val="2"/>
    </font>
    <font>
      <sz val="10"/>
      <name val="Swis721 LtCn BT"/>
      <family val="2"/>
    </font>
    <font>
      <b/>
      <sz val="10"/>
      <name val="Swis721 LtCn BT"/>
      <family val="2"/>
    </font>
    <font>
      <sz val="10"/>
      <color theme="1"/>
      <name val="Swis721 Cn BT"/>
      <family val="2"/>
    </font>
    <font>
      <b/>
      <sz val="10"/>
      <color theme="0"/>
      <name val="Swis721 Cn BT"/>
      <family val="2"/>
    </font>
    <font>
      <sz val="10"/>
      <color theme="0"/>
      <name val="Swis721 Cn BT"/>
      <family val="2"/>
    </font>
    <font>
      <b/>
      <sz val="26"/>
      <color theme="0"/>
      <name val="Swis721 LtCn BT"/>
      <family val="2"/>
    </font>
    <font>
      <b/>
      <sz val="18"/>
      <color theme="0"/>
      <name val="Swis721 LtCn BT"/>
      <family val="2"/>
    </font>
    <font>
      <b/>
      <sz val="20"/>
      <color theme="0"/>
      <name val="Swis721 LtCn BT"/>
      <family val="2"/>
    </font>
    <font>
      <b/>
      <sz val="22"/>
      <color theme="0"/>
      <name val="Swis721 LtCn BT"/>
      <family val="2"/>
    </font>
    <font>
      <sz val="8"/>
      <color theme="7" tint="-0.499984740745262"/>
      <name val="Swis721 LtCn BT"/>
      <family val="2"/>
    </font>
    <font>
      <sz val="11"/>
      <color theme="1" tint="0.499984740745262"/>
      <name val="Swis721 LtCn BT"/>
      <family val="2"/>
    </font>
    <font>
      <b/>
      <sz val="11"/>
      <color theme="1" tint="0.499984740745262"/>
      <name val="Swis721 LtCn BT"/>
      <family val="2"/>
    </font>
    <font>
      <sz val="10"/>
      <color theme="1" tint="0.499984740745262"/>
      <name val="Swis721 LtCn BT"/>
      <family val="2"/>
    </font>
    <font>
      <sz val="14"/>
      <color theme="1" tint="0.499984740745262"/>
      <name val="Swis721 LtCn BT"/>
      <family val="2"/>
    </font>
    <font>
      <b/>
      <sz val="16"/>
      <color theme="1" tint="0.499984740745262"/>
      <name val="Swis721 LtCn BT"/>
      <family val="2"/>
    </font>
    <font>
      <sz val="10"/>
      <color theme="4" tint="-0.249977111117893"/>
      <name val="Swis721 LtCn BT"/>
      <family val="2"/>
    </font>
    <font>
      <sz val="10"/>
      <color theme="3" tint="0.249977111117893"/>
      <name val="Swis721 LtCn BT"/>
      <family val="2"/>
    </font>
    <font>
      <b/>
      <sz val="10"/>
      <color theme="4" tint="-0.249977111117893"/>
      <name val="Swis721 LtCn BT"/>
      <family val="2"/>
    </font>
    <font>
      <b/>
      <sz val="12"/>
      <name val="Swis721 LtCn BT"/>
      <family val="2"/>
    </font>
  </fonts>
  <fills count="6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DCD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rgb="FFFF9B9B"/>
        <bgColor indexed="64"/>
      </patternFill>
    </fill>
  </fills>
  <borders count="1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medium">
        <color indexed="64"/>
      </bottom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medium">
        <color theme="0" tint="-0.34998626667073579"/>
      </left>
      <right style="thin">
        <color theme="0" tint="-0.249977111117893"/>
      </right>
      <top style="medium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34998626667073579"/>
      </right>
      <top style="medium">
        <color theme="0" tint="-0.34998626667073579"/>
      </top>
      <bottom style="thin">
        <color theme="0" tint="-0.249977111117893"/>
      </bottom>
      <diagonal/>
    </border>
    <border>
      <left style="medium">
        <color theme="0" tint="-0.34998626667073579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34998626667073579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34998626667073579"/>
      </left>
      <right style="thin">
        <color theme="0" tint="-0.249977111117893"/>
      </right>
      <top style="thin">
        <color theme="0" tint="-0.249977111117893"/>
      </top>
      <bottom style="medium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34998626667073579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medium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medium">
        <color theme="0" tint="-0.34998626667073579"/>
      </bottom>
      <diagonal/>
    </border>
    <border>
      <left style="thin">
        <color theme="0" tint="-0.249977111117893"/>
      </left>
      <right style="medium">
        <color theme="0" tint="-0.34998626667073579"/>
      </right>
      <top style="thin">
        <color theme="0" tint="-0.249977111117893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/>
      <top style="medium">
        <color indexed="64"/>
      </top>
      <bottom/>
      <diagonal/>
    </border>
    <border>
      <left/>
      <right style="thin">
        <color theme="0" tint="-0.34998626667073579"/>
      </right>
      <top style="medium">
        <color indexed="64"/>
      </top>
      <bottom/>
      <diagonal/>
    </border>
    <border>
      <left style="medium">
        <color indexed="64"/>
      </left>
      <right style="thin">
        <color theme="0" tint="-0.34998626667073579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/>
      <diagonal/>
    </border>
    <border>
      <left style="thin">
        <color theme="0" tint="-0.249977111117893"/>
      </left>
      <right/>
      <top style="medium">
        <color indexed="64"/>
      </top>
      <bottom/>
      <diagonal/>
    </border>
    <border>
      <left/>
      <right style="thin">
        <color theme="0" tint="-0.249977111117893"/>
      </right>
      <top style="medium">
        <color indexed="64"/>
      </top>
      <bottom/>
      <diagonal/>
    </border>
    <border>
      <left style="thin">
        <color theme="0" tint="-0.249977111117893"/>
      </left>
      <right/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theme="0" tint="-0.34998626667073579"/>
      </bottom>
      <diagonal/>
    </border>
    <border>
      <left/>
      <right style="medium">
        <color indexed="64"/>
      </right>
      <top/>
      <bottom style="thin">
        <color theme="0" tint="-0.34998626667073579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theme="1"/>
      </left>
      <right style="thin">
        <color theme="0" tint="-0.34998626667073579"/>
      </right>
      <top style="medium">
        <color theme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1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/>
      </right>
      <top style="medium">
        <color theme="1"/>
      </top>
      <bottom style="thin">
        <color theme="0" tint="-0.34998626667073579"/>
      </bottom>
      <diagonal/>
    </border>
    <border>
      <left style="medium">
        <color theme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/>
      </left>
      <right style="thin">
        <color theme="0" tint="-0.34998626667073579"/>
      </right>
      <top style="thin">
        <color theme="0" tint="-0.34998626667073579"/>
      </top>
      <bottom style="medium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1"/>
      </bottom>
      <diagonal/>
    </border>
    <border>
      <left style="thin">
        <color theme="0" tint="-0.34998626667073579"/>
      </left>
      <right style="medium">
        <color theme="1"/>
      </right>
      <top style="thin">
        <color theme="0" tint="-0.34998626667073579"/>
      </top>
      <bottom style="medium">
        <color theme="1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</borders>
  <cellStyleXfs count="4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1744">
    <xf numFmtId="0" fontId="0" fillId="0" borderId="0" xfId="0"/>
    <xf numFmtId="0" fontId="16" fillId="0" borderId="0" xfId="0" applyFont="1" applyAlignment="1">
      <alignment horizontal="center"/>
    </xf>
    <xf numFmtId="165" fontId="0" fillId="0" borderId="0" xfId="1" applyFont="1"/>
    <xf numFmtId="0" fontId="16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165" fontId="18" fillId="0" borderId="0" xfId="1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18" fillId="0" borderId="0" xfId="0" applyNumberFormat="1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9" fontId="0" fillId="0" borderId="0" xfId="2" applyFont="1" applyAlignment="1">
      <alignment horizontal="center" vertical="center"/>
    </xf>
    <xf numFmtId="166" fontId="0" fillId="0" borderId="0" xfId="2" applyNumberFormat="1" applyFont="1" applyAlignment="1">
      <alignment horizontal="center" vertical="center"/>
    </xf>
    <xf numFmtId="167" fontId="18" fillId="0" borderId="0" xfId="1" applyNumberFormat="1" applyFont="1" applyFill="1" applyAlignment="1">
      <alignment horizontal="center" vertical="center"/>
    </xf>
    <xf numFmtId="167" fontId="0" fillId="0" borderId="0" xfId="1" applyNumberFormat="1" applyFont="1" applyAlignment="1">
      <alignment horizontal="center" vertical="center"/>
    </xf>
    <xf numFmtId="49" fontId="0" fillId="33" borderId="0" xfId="0" applyNumberFormat="1" applyFill="1" applyAlignment="1">
      <alignment horizontal="center" vertical="center"/>
    </xf>
    <xf numFmtId="49" fontId="0" fillId="34" borderId="0" xfId="0" applyNumberFormat="1" applyFill="1" applyAlignment="1">
      <alignment horizontal="center" vertical="center"/>
    </xf>
    <xf numFmtId="49" fontId="0" fillId="37" borderId="0" xfId="0" applyNumberFormat="1" applyFill="1" applyAlignment="1">
      <alignment horizontal="center" vertical="center"/>
    </xf>
    <xf numFmtId="49" fontId="0" fillId="38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16" fillId="0" borderId="0" xfId="1" applyFont="1" applyFill="1" applyBorder="1" applyAlignment="1">
      <alignment horizontal="center" vertical="center"/>
    </xf>
    <xf numFmtId="167" fontId="16" fillId="0" borderId="0" xfId="1" applyNumberFormat="1" applyFont="1" applyFill="1" applyBorder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165" fontId="23" fillId="0" borderId="0" xfId="1" applyFont="1" applyFill="1" applyBorder="1" applyAlignment="1">
      <alignment horizontal="center" vertical="center"/>
    </xf>
    <xf numFmtId="167" fontId="23" fillId="0" borderId="0" xfId="1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65" fontId="23" fillId="0" borderId="0" xfId="1" applyFont="1" applyFill="1" applyAlignment="1">
      <alignment horizontal="center" vertical="center"/>
    </xf>
    <xf numFmtId="165" fontId="1" fillId="0" borderId="0" xfId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65" fontId="16" fillId="0" borderId="11" xfId="1" applyFont="1" applyFill="1" applyBorder="1" applyAlignment="1">
      <alignment horizontal="center" vertical="center"/>
    </xf>
    <xf numFmtId="165" fontId="0" fillId="0" borderId="0" xfId="1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164" fontId="0" fillId="0" borderId="0" xfId="44" applyFont="1"/>
    <xf numFmtId="0" fontId="16" fillId="0" borderId="0" xfId="0" applyFont="1"/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10" fontId="0" fillId="0" borderId="0" xfId="2" applyNumberFormat="1" applyFont="1" applyAlignment="1">
      <alignment vertical="center"/>
    </xf>
    <xf numFmtId="165" fontId="0" fillId="0" borderId="0" xfId="1" applyFont="1" applyAlignment="1">
      <alignment vertical="center"/>
    </xf>
    <xf numFmtId="165" fontId="16" fillId="0" borderId="10" xfId="1" applyFont="1" applyBorder="1" applyAlignment="1">
      <alignment horizontal="center" vertical="center"/>
    </xf>
    <xf numFmtId="166" fontId="13" fillId="45" borderId="10" xfId="2" applyNumberFormat="1" applyFont="1" applyFill="1" applyBorder="1" applyAlignment="1">
      <alignment horizontal="center" vertical="center"/>
    </xf>
    <xf numFmtId="0" fontId="16" fillId="0" borderId="10" xfId="0" applyFont="1" applyBorder="1" applyAlignment="1">
      <alignment vertical="center"/>
    </xf>
    <xf numFmtId="10" fontId="16" fillId="0" borderId="10" xfId="2" applyNumberFormat="1" applyFont="1" applyBorder="1" applyAlignment="1">
      <alignment horizontal="center" vertical="center"/>
    </xf>
    <xf numFmtId="166" fontId="16" fillId="0" borderId="10" xfId="2" applyNumberFormat="1" applyFont="1" applyBorder="1" applyAlignment="1">
      <alignment horizontal="center" vertical="center"/>
    </xf>
    <xf numFmtId="1" fontId="16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16" fillId="0" borderId="10" xfId="0" applyFont="1" applyBorder="1" applyAlignment="1">
      <alignment horizontal="left" vertical="center"/>
    </xf>
    <xf numFmtId="165" fontId="16" fillId="0" borderId="10" xfId="1" applyFont="1" applyBorder="1" applyAlignment="1">
      <alignment vertical="center"/>
    </xf>
    <xf numFmtId="10" fontId="0" fillId="0" borderId="10" xfId="2" applyNumberFormat="1" applyFont="1" applyBorder="1" applyAlignment="1">
      <alignment vertical="center"/>
    </xf>
    <xf numFmtId="166" fontId="0" fillId="0" borderId="10" xfId="2" applyNumberFormat="1" applyFon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65" fontId="13" fillId="45" borderId="10" xfId="1" applyFont="1" applyFill="1" applyBorder="1" applyAlignment="1">
      <alignment vertical="center"/>
    </xf>
    <xf numFmtId="10" fontId="13" fillId="45" borderId="10" xfId="2" applyNumberFormat="1" applyFont="1" applyFill="1" applyBorder="1" applyAlignment="1">
      <alignment vertical="center"/>
    </xf>
    <xf numFmtId="0" fontId="17" fillId="45" borderId="10" xfId="0" applyFont="1" applyFill="1" applyBorder="1" applyAlignment="1">
      <alignment vertical="center"/>
    </xf>
    <xf numFmtId="1" fontId="13" fillId="45" borderId="10" xfId="1" applyNumberFormat="1" applyFont="1" applyFill="1" applyBorder="1" applyAlignment="1">
      <alignment horizontal="center" vertical="center"/>
    </xf>
    <xf numFmtId="49" fontId="0" fillId="33" borderId="10" xfId="0" applyNumberFormat="1" applyFill="1" applyBorder="1" applyAlignment="1">
      <alignment horizontal="center" vertical="center"/>
    </xf>
    <xf numFmtId="0" fontId="0" fillId="37" borderId="10" xfId="0" applyFill="1" applyBorder="1" applyAlignment="1">
      <alignment horizontal="center" vertical="center"/>
    </xf>
    <xf numFmtId="165" fontId="0" fillId="37" borderId="10" xfId="1" applyFont="1" applyFill="1" applyBorder="1" applyAlignment="1">
      <alignment vertical="center"/>
    </xf>
    <xf numFmtId="10" fontId="0" fillId="37" borderId="10" xfId="2" applyNumberFormat="1" applyFont="1" applyFill="1" applyBorder="1" applyAlignment="1">
      <alignment vertical="center"/>
    </xf>
    <xf numFmtId="0" fontId="0" fillId="37" borderId="10" xfId="0" applyFill="1" applyBorder="1" applyAlignment="1">
      <alignment vertical="center"/>
    </xf>
    <xf numFmtId="166" fontId="16" fillId="37" borderId="10" xfId="2" applyNumberFormat="1" applyFont="1" applyFill="1" applyBorder="1" applyAlignment="1">
      <alignment horizontal="center" vertical="center"/>
    </xf>
    <xf numFmtId="1" fontId="0" fillId="37" borderId="10" xfId="0" applyNumberForma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1" fontId="13" fillId="45" borderId="10" xfId="2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0" xfId="1" applyFont="1" applyBorder="1" applyAlignment="1">
      <alignment vertical="center"/>
    </xf>
    <xf numFmtId="49" fontId="0" fillId="34" borderId="10" xfId="0" applyNumberFormat="1" applyFill="1" applyBorder="1" applyAlignment="1">
      <alignment horizontal="center" vertical="center"/>
    </xf>
    <xf numFmtId="166" fontId="0" fillId="37" borderId="10" xfId="2" applyNumberFormat="1" applyFont="1" applyFill="1" applyBorder="1" applyAlignment="1">
      <alignment horizontal="center" vertical="center"/>
    </xf>
    <xf numFmtId="49" fontId="0" fillId="37" borderId="10" xfId="0" applyNumberFormat="1" applyFill="1" applyBorder="1" applyAlignment="1">
      <alignment horizontal="center" vertical="center"/>
    </xf>
    <xf numFmtId="49" fontId="0" fillId="38" borderId="10" xfId="0" applyNumberFormat="1" applyFill="1" applyBorder="1" applyAlignment="1">
      <alignment horizontal="center" vertical="center"/>
    </xf>
    <xf numFmtId="0" fontId="0" fillId="38" borderId="10" xfId="0" applyFill="1" applyBorder="1" applyAlignment="1">
      <alignment horizontal="center" vertical="center"/>
    </xf>
    <xf numFmtId="165" fontId="0" fillId="38" borderId="10" xfId="1" applyFont="1" applyFill="1" applyBorder="1" applyAlignment="1">
      <alignment vertical="center"/>
    </xf>
    <xf numFmtId="10" fontId="0" fillId="38" borderId="10" xfId="2" applyNumberFormat="1" applyFont="1" applyFill="1" applyBorder="1" applyAlignment="1">
      <alignment vertical="center"/>
    </xf>
    <xf numFmtId="0" fontId="0" fillId="38" borderId="10" xfId="0" applyFill="1" applyBorder="1" applyAlignment="1">
      <alignment vertical="center"/>
    </xf>
    <xf numFmtId="166" fontId="16" fillId="38" borderId="10" xfId="2" applyNumberFormat="1" applyFont="1" applyFill="1" applyBorder="1" applyAlignment="1">
      <alignment horizontal="center" vertical="center"/>
    </xf>
    <xf numFmtId="1" fontId="0" fillId="38" borderId="10" xfId="0" applyNumberFormat="1" applyFill="1" applyBorder="1" applyAlignment="1">
      <alignment horizontal="center" vertical="center"/>
    </xf>
    <xf numFmtId="0" fontId="0" fillId="44" borderId="10" xfId="0" applyFill="1" applyBorder="1" applyAlignment="1">
      <alignment horizontal="center" vertical="center"/>
    </xf>
    <xf numFmtId="165" fontId="0" fillId="44" borderId="10" xfId="1" applyFont="1" applyFill="1" applyBorder="1" applyAlignment="1">
      <alignment vertical="center"/>
    </xf>
    <xf numFmtId="10" fontId="0" fillId="44" borderId="10" xfId="2" applyNumberFormat="1" applyFont="1" applyFill="1" applyBorder="1" applyAlignment="1">
      <alignment vertical="center"/>
    </xf>
    <xf numFmtId="0" fontId="0" fillId="44" borderId="10" xfId="0" applyFill="1" applyBorder="1" applyAlignment="1">
      <alignment vertical="center"/>
    </xf>
    <xf numFmtId="166" fontId="16" fillId="44" borderId="10" xfId="2" applyNumberFormat="1" applyFont="1" applyFill="1" applyBorder="1" applyAlignment="1">
      <alignment horizontal="center" vertical="center"/>
    </xf>
    <xf numFmtId="1" fontId="0" fillId="44" borderId="10" xfId="0" applyNumberFormat="1" applyFill="1" applyBorder="1" applyAlignment="1">
      <alignment horizontal="center" vertical="center"/>
    </xf>
    <xf numFmtId="0" fontId="13" fillId="41" borderId="0" xfId="0" applyFont="1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9" fontId="0" fillId="0" borderId="0" xfId="44" applyNumberFormat="1" applyFont="1"/>
    <xf numFmtId="0" fontId="16" fillId="0" borderId="15" xfId="0" applyFont="1" applyBorder="1" applyAlignment="1">
      <alignment horizontal="center" vertical="center"/>
    </xf>
    <xf numFmtId="165" fontId="16" fillId="0" borderId="15" xfId="1" applyFont="1" applyFill="1" applyBorder="1" applyAlignment="1">
      <alignment horizontal="center" vertical="center"/>
    </xf>
    <xf numFmtId="169" fontId="16" fillId="0" borderId="15" xfId="44" applyNumberFormat="1" applyFont="1" applyFill="1" applyBorder="1" applyAlignment="1">
      <alignment horizontal="center" vertical="center" wrapText="1"/>
    </xf>
    <xf numFmtId="169" fontId="16" fillId="0" borderId="15" xfId="44" applyNumberFormat="1" applyFont="1" applyFill="1" applyBorder="1" applyAlignment="1">
      <alignment horizontal="center" vertical="center"/>
    </xf>
    <xf numFmtId="9" fontId="14" fillId="0" borderId="15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1" fontId="0" fillId="0" borderId="15" xfId="0" applyNumberFormat="1" applyBorder="1" applyAlignment="1">
      <alignment horizontal="center"/>
    </xf>
    <xf numFmtId="165" fontId="0" fillId="0" borderId="15" xfId="0" applyNumberFormat="1" applyBorder="1"/>
    <xf numFmtId="169" fontId="0" fillId="0" borderId="15" xfId="44" applyNumberFormat="1" applyFont="1" applyBorder="1"/>
    <xf numFmtId="169" fontId="0" fillId="0" borderId="15" xfId="0" applyNumberFormat="1" applyBorder="1"/>
    <xf numFmtId="0" fontId="18" fillId="0" borderId="15" xfId="0" applyFont="1" applyBorder="1" applyAlignment="1">
      <alignment horizontal="center"/>
    </xf>
    <xf numFmtId="165" fontId="18" fillId="0" borderId="15" xfId="0" applyNumberFormat="1" applyFont="1" applyBorder="1"/>
    <xf numFmtId="0" fontId="18" fillId="0" borderId="15" xfId="0" applyFont="1" applyBorder="1"/>
    <xf numFmtId="169" fontId="18" fillId="0" borderId="15" xfId="44" applyNumberFormat="1" applyFont="1" applyBorder="1"/>
    <xf numFmtId="0" fontId="18" fillId="0" borderId="0" xfId="0" applyFont="1"/>
    <xf numFmtId="0" fontId="0" fillId="0" borderId="0" xfId="0" applyAlignment="1">
      <alignment vertical="center" wrapText="1"/>
    </xf>
    <xf numFmtId="49" fontId="0" fillId="0" borderId="15" xfId="0" applyNumberFormat="1" applyBorder="1" applyAlignment="1">
      <alignment horizontal="center" vertical="center"/>
    </xf>
    <xf numFmtId="164" fontId="0" fillId="0" borderId="15" xfId="0" applyNumberFormat="1" applyBorder="1"/>
    <xf numFmtId="1" fontId="16" fillId="0" borderId="0" xfId="1" applyNumberFormat="1" applyFont="1" applyAlignment="1">
      <alignment horizontal="center" vertical="center"/>
    </xf>
    <xf numFmtId="165" fontId="16" fillId="0" borderId="0" xfId="1" applyFont="1" applyAlignment="1">
      <alignment vertical="center"/>
    </xf>
    <xf numFmtId="165" fontId="23" fillId="0" borderId="0" xfId="1" applyFont="1" applyAlignment="1">
      <alignment horizontal="center" vertical="center"/>
    </xf>
    <xf numFmtId="1" fontId="33" fillId="0" borderId="15" xfId="1" applyNumberFormat="1" applyFont="1" applyBorder="1" applyAlignment="1">
      <alignment horizontal="center" vertical="center"/>
    </xf>
    <xf numFmtId="165" fontId="23" fillId="0" borderId="15" xfId="1" applyFont="1" applyBorder="1" applyAlignment="1">
      <alignment horizontal="center" vertical="center"/>
    </xf>
    <xf numFmtId="1" fontId="16" fillId="0" borderId="15" xfId="1" applyNumberFormat="1" applyFont="1" applyBorder="1" applyAlignment="1">
      <alignment horizontal="center" vertical="center"/>
    </xf>
    <xf numFmtId="165" fontId="16" fillId="0" borderId="15" xfId="1" applyFont="1" applyBorder="1" applyAlignment="1">
      <alignment vertical="center"/>
    </xf>
    <xf numFmtId="165" fontId="0" fillId="0" borderId="15" xfId="1" applyFont="1" applyBorder="1" applyAlignment="1">
      <alignment vertical="center"/>
    </xf>
    <xf numFmtId="165" fontId="13" fillId="45" borderId="15" xfId="1" applyFont="1" applyFill="1" applyBorder="1" applyAlignment="1">
      <alignment horizontal="center" vertical="center"/>
    </xf>
    <xf numFmtId="165" fontId="23" fillId="0" borderId="15" xfId="1" applyFont="1" applyFill="1" applyBorder="1" applyAlignment="1">
      <alignment vertical="center"/>
    </xf>
    <xf numFmtId="165" fontId="23" fillId="0" borderId="0" xfId="1" applyFont="1" applyFill="1" applyAlignment="1">
      <alignment vertical="center"/>
    </xf>
    <xf numFmtId="165" fontId="13" fillId="36" borderId="15" xfId="1" applyFont="1" applyFill="1" applyBorder="1" applyAlignment="1">
      <alignment horizontal="center" vertical="center"/>
    </xf>
    <xf numFmtId="169" fontId="13" fillId="36" borderId="15" xfId="44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9" fontId="0" fillId="0" borderId="0" xfId="0" applyNumberFormat="1" applyAlignment="1">
      <alignment vertical="center" wrapText="1"/>
    </xf>
    <xf numFmtId="0" fontId="14" fillId="0" borderId="0" xfId="0" applyFont="1" applyAlignment="1">
      <alignment vertical="center" wrapText="1"/>
    </xf>
    <xf numFmtId="165" fontId="23" fillId="0" borderId="0" xfId="1" applyFont="1" applyFill="1" applyBorder="1" applyAlignment="1">
      <alignment vertical="center"/>
    </xf>
    <xf numFmtId="165" fontId="35" fillId="0" borderId="15" xfId="1" applyFont="1" applyBorder="1" applyAlignment="1">
      <alignment vertical="center"/>
    </xf>
    <xf numFmtId="1" fontId="35" fillId="0" borderId="0" xfId="1" applyNumberFormat="1" applyFont="1" applyAlignment="1">
      <alignment horizontal="center" vertical="center"/>
    </xf>
    <xf numFmtId="165" fontId="35" fillId="0" borderId="0" xfId="1" applyFont="1" applyAlignment="1">
      <alignment vertical="center"/>
    </xf>
    <xf numFmtId="1" fontId="36" fillId="0" borderId="15" xfId="1" applyNumberFormat="1" applyFont="1" applyBorder="1" applyAlignment="1">
      <alignment horizontal="center" vertical="center"/>
    </xf>
    <xf numFmtId="165" fontId="36" fillId="0" borderId="15" xfId="1" applyFont="1" applyBorder="1" applyAlignment="1">
      <alignment vertical="center"/>
    </xf>
    <xf numFmtId="9" fontId="36" fillId="0" borderId="15" xfId="2" applyFont="1" applyBorder="1" applyAlignment="1">
      <alignment vertical="center"/>
    </xf>
    <xf numFmtId="1" fontId="36" fillId="0" borderId="0" xfId="1" applyNumberFormat="1" applyFont="1" applyAlignment="1">
      <alignment horizontal="center" vertical="center"/>
    </xf>
    <xf numFmtId="165" fontId="36" fillId="0" borderId="0" xfId="1" applyFont="1" applyAlignment="1">
      <alignment vertical="center"/>
    </xf>
    <xf numFmtId="9" fontId="35" fillId="0" borderId="15" xfId="2" applyFont="1" applyBorder="1" applyAlignment="1">
      <alignment vertical="center"/>
    </xf>
    <xf numFmtId="10" fontId="35" fillId="0" borderId="0" xfId="2" applyNumberFormat="1" applyFont="1" applyAlignment="1">
      <alignment vertical="center"/>
    </xf>
    <xf numFmtId="170" fontId="35" fillId="0" borderId="0" xfId="1" applyNumberFormat="1" applyFont="1" applyAlignment="1">
      <alignment vertical="center"/>
    </xf>
    <xf numFmtId="165" fontId="35" fillId="35" borderId="0" xfId="1" applyFont="1" applyFill="1" applyBorder="1" applyAlignment="1">
      <alignment vertical="center"/>
    </xf>
    <xf numFmtId="165" fontId="35" fillId="45" borderId="0" xfId="1" applyFont="1" applyFill="1" applyBorder="1" applyAlignment="1">
      <alignment vertical="center"/>
    </xf>
    <xf numFmtId="165" fontId="35" fillId="47" borderId="0" xfId="1" applyFont="1" applyFill="1" applyBorder="1" applyAlignment="1">
      <alignment vertical="center"/>
    </xf>
    <xf numFmtId="165" fontId="35" fillId="44" borderId="0" xfId="1" applyFont="1" applyFill="1" applyBorder="1" applyAlignment="1">
      <alignment vertical="center"/>
    </xf>
    <xf numFmtId="165" fontId="35" fillId="48" borderId="0" xfId="1" applyFont="1" applyFill="1" applyBorder="1" applyAlignment="1">
      <alignment vertical="center"/>
    </xf>
    <xf numFmtId="165" fontId="35" fillId="49" borderId="0" xfId="1" applyFont="1" applyFill="1" applyBorder="1" applyAlignment="1">
      <alignment vertical="center"/>
    </xf>
    <xf numFmtId="165" fontId="35" fillId="50" borderId="0" xfId="1" applyFont="1" applyFill="1" applyBorder="1" applyAlignment="1">
      <alignment vertical="center"/>
    </xf>
    <xf numFmtId="165" fontId="35" fillId="0" borderId="0" xfId="1" applyFont="1" applyAlignment="1">
      <alignment horizontal="center" vertical="center"/>
    </xf>
    <xf numFmtId="165" fontId="36" fillId="0" borderId="0" xfId="1" applyFont="1" applyAlignment="1">
      <alignment horizontal="center" vertical="center"/>
    </xf>
    <xf numFmtId="1" fontId="35" fillId="0" borderId="0" xfId="1" applyNumberFormat="1" applyFont="1" applyAlignment="1">
      <alignment vertical="center"/>
    </xf>
    <xf numFmtId="165" fontId="35" fillId="0" borderId="0" xfId="1" applyFont="1" applyFill="1" applyBorder="1" applyAlignment="1">
      <alignment vertical="center"/>
    </xf>
    <xf numFmtId="165" fontId="35" fillId="0" borderId="0" xfId="1" applyFont="1" applyFill="1" applyAlignment="1">
      <alignment vertical="center"/>
    </xf>
    <xf numFmtId="1" fontId="36" fillId="0" borderId="0" xfId="1" applyNumberFormat="1" applyFont="1" applyFill="1" applyBorder="1" applyAlignment="1">
      <alignment horizontal="right" vertical="center"/>
    </xf>
    <xf numFmtId="165" fontId="36" fillId="0" borderId="0" xfId="1" applyFont="1" applyFill="1" applyAlignment="1">
      <alignment vertical="center"/>
    </xf>
    <xf numFmtId="1" fontId="35" fillId="37" borderId="0" xfId="1" applyNumberFormat="1" applyFont="1" applyFill="1" applyAlignment="1">
      <alignment horizontal="center" vertical="center"/>
    </xf>
    <xf numFmtId="165" fontId="29" fillId="0" borderId="0" xfId="1" applyFont="1" applyFill="1" applyBorder="1" applyAlignment="1">
      <alignment vertical="center"/>
    </xf>
    <xf numFmtId="165" fontId="29" fillId="0" borderId="15" xfId="1" applyFont="1" applyBorder="1" applyAlignment="1">
      <alignment vertical="center"/>
    </xf>
    <xf numFmtId="165" fontId="37" fillId="0" borderId="0" xfId="1" applyFont="1" applyFill="1" applyBorder="1" applyAlignment="1">
      <alignment vertical="center"/>
    </xf>
    <xf numFmtId="10" fontId="23" fillId="0" borderId="0" xfId="2" applyNumberFormat="1" applyFont="1" applyFill="1" applyBorder="1" applyAlignment="1">
      <alignment vertical="center"/>
    </xf>
    <xf numFmtId="10" fontId="23" fillId="0" borderId="0" xfId="2" applyNumberFormat="1" applyFont="1" applyFill="1" applyBorder="1" applyAlignment="1">
      <alignment horizontal="right" vertical="center"/>
    </xf>
    <xf numFmtId="10" fontId="23" fillId="0" borderId="15" xfId="2" applyNumberFormat="1" applyFont="1" applyBorder="1" applyAlignment="1">
      <alignment horizontal="center" vertical="center"/>
    </xf>
    <xf numFmtId="10" fontId="36" fillId="0" borderId="15" xfId="2" applyNumberFormat="1" applyFont="1" applyBorder="1" applyAlignment="1">
      <alignment horizontal="center" vertical="center"/>
    </xf>
    <xf numFmtId="10" fontId="35" fillId="0" borderId="15" xfId="2" applyNumberFormat="1" applyFont="1" applyBorder="1" applyAlignment="1">
      <alignment horizontal="center" vertical="center"/>
    </xf>
    <xf numFmtId="10" fontId="35" fillId="0" borderId="0" xfId="2" applyNumberFormat="1" applyFont="1" applyAlignment="1">
      <alignment horizontal="center" vertical="center"/>
    </xf>
    <xf numFmtId="10" fontId="14" fillId="0" borderId="0" xfId="2" applyNumberFormat="1" applyFont="1" applyAlignment="1">
      <alignment horizontal="center" vertical="center"/>
    </xf>
    <xf numFmtId="0" fontId="14" fillId="0" borderId="0" xfId="0" applyFont="1"/>
    <xf numFmtId="165" fontId="0" fillId="0" borderId="0" xfId="0" applyNumberFormat="1" applyAlignment="1">
      <alignment vertical="center" wrapText="1"/>
    </xf>
    <xf numFmtId="164" fontId="0" fillId="0" borderId="0" xfId="44" applyFont="1" applyAlignment="1">
      <alignment vertical="center" wrapText="1"/>
    </xf>
    <xf numFmtId="169" fontId="0" fillId="0" borderId="0" xfId="44" applyNumberFormat="1" applyFont="1" applyAlignment="1">
      <alignment vertical="center" wrapText="1"/>
    </xf>
    <xf numFmtId="0" fontId="41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165" fontId="0" fillId="0" borderId="0" xfId="1" applyFont="1" applyFill="1" applyAlignment="1">
      <alignment vertical="center" wrapText="1"/>
    </xf>
    <xf numFmtId="10" fontId="0" fillId="0" borderId="0" xfId="2" applyNumberFormat="1" applyFont="1" applyFill="1" applyAlignment="1">
      <alignment vertical="center" wrapText="1"/>
    </xf>
    <xf numFmtId="169" fontId="0" fillId="0" borderId="0" xfId="44" applyNumberFormat="1" applyFont="1" applyFill="1" applyAlignment="1">
      <alignment horizontal="center" vertical="center" wrapText="1"/>
    </xf>
    <xf numFmtId="0" fontId="0" fillId="53" borderId="0" xfId="0" applyFill="1" applyAlignment="1">
      <alignment vertical="center" wrapText="1"/>
    </xf>
    <xf numFmtId="0" fontId="13" fillId="36" borderId="15" xfId="0" applyFont="1" applyFill="1" applyBorder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0" fillId="0" borderId="15" xfId="0" applyBorder="1"/>
    <xf numFmtId="0" fontId="35" fillId="0" borderId="0" xfId="0" applyFont="1" applyAlignment="1">
      <alignment horizontal="center"/>
    </xf>
    <xf numFmtId="9" fontId="0" fillId="0" borderId="0" xfId="2" applyFont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65" fontId="0" fillId="0" borderId="15" xfId="1" applyFont="1" applyBorder="1" applyAlignment="1">
      <alignment horizontal="center" vertical="center"/>
    </xf>
    <xf numFmtId="10" fontId="0" fillId="0" borderId="15" xfId="2" applyNumberFormat="1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16" fillId="53" borderId="15" xfId="0" applyFont="1" applyFill="1" applyBorder="1" applyAlignment="1">
      <alignment horizontal="center" vertical="center"/>
    </xf>
    <xf numFmtId="0" fontId="0" fillId="53" borderId="15" xfId="0" applyFill="1" applyBorder="1" applyAlignment="1">
      <alignment vertical="center"/>
    </xf>
    <xf numFmtId="0" fontId="0" fillId="53" borderId="15" xfId="0" applyFill="1" applyBorder="1" applyAlignment="1">
      <alignment horizontal="center" vertical="center"/>
    </xf>
    <xf numFmtId="10" fontId="0" fillId="53" borderId="15" xfId="2" applyNumberFormat="1" applyFont="1" applyFill="1" applyBorder="1" applyAlignment="1">
      <alignment horizontal="center" vertical="center"/>
    </xf>
    <xf numFmtId="169" fontId="0" fillId="0" borderId="15" xfId="44" applyNumberFormat="1" applyFont="1" applyFill="1" applyBorder="1" applyAlignment="1">
      <alignment horizontal="center" vertical="center"/>
    </xf>
    <xf numFmtId="164" fontId="0" fillId="0" borderId="15" xfId="44" applyFont="1" applyBorder="1"/>
    <xf numFmtId="0" fontId="13" fillId="45" borderId="37" xfId="0" applyFont="1" applyFill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41" fillId="0" borderId="37" xfId="0" applyFont="1" applyBorder="1" applyAlignment="1">
      <alignment horizontal="center" vertical="center" wrapText="1"/>
    </xf>
    <xf numFmtId="165" fontId="18" fillId="0" borderId="37" xfId="0" applyNumberFormat="1" applyFont="1" applyBorder="1" applyAlignment="1">
      <alignment vertical="center" wrapText="1"/>
    </xf>
    <xf numFmtId="0" fontId="0" fillId="0" borderId="37" xfId="0" applyBorder="1" applyAlignment="1">
      <alignment horizontal="center" vertical="center" wrapText="1"/>
    </xf>
    <xf numFmtId="165" fontId="0" fillId="0" borderId="37" xfId="0" applyNumberFormat="1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41" fillId="0" borderId="37" xfId="0" applyFont="1" applyBorder="1" applyAlignment="1">
      <alignment vertical="center" wrapText="1"/>
    </xf>
    <xf numFmtId="169" fontId="18" fillId="0" borderId="37" xfId="44" applyNumberFormat="1" applyFont="1" applyBorder="1" applyAlignment="1">
      <alignment vertical="center" wrapText="1"/>
    </xf>
    <xf numFmtId="169" fontId="0" fillId="0" borderId="37" xfId="44" applyNumberFormat="1" applyFont="1" applyBorder="1" applyAlignment="1">
      <alignment vertical="center" wrapText="1"/>
    </xf>
    <xf numFmtId="169" fontId="0" fillId="0" borderId="37" xfId="0" applyNumberFormat="1" applyBorder="1" applyAlignment="1">
      <alignment vertical="center" wrapText="1"/>
    </xf>
    <xf numFmtId="0" fontId="16" fillId="0" borderId="37" xfId="0" applyFont="1" applyBorder="1" applyAlignment="1">
      <alignment vertical="center" wrapText="1"/>
    </xf>
    <xf numFmtId="0" fontId="49" fillId="0" borderId="15" xfId="0" applyFont="1" applyBorder="1" applyAlignment="1">
      <alignment horizontal="center" vertical="center"/>
    </xf>
    <xf numFmtId="0" fontId="48" fillId="0" borderId="15" xfId="0" applyFont="1" applyBorder="1" applyAlignment="1">
      <alignment horizontal="center" vertical="center"/>
    </xf>
    <xf numFmtId="0" fontId="49" fillId="0" borderId="15" xfId="0" applyFont="1" applyBorder="1" applyAlignment="1">
      <alignment vertical="center"/>
    </xf>
    <xf numFmtId="0" fontId="44" fillId="45" borderId="15" xfId="0" applyFont="1" applyFill="1" applyBorder="1" applyAlignment="1">
      <alignment horizontal="center" vertical="center"/>
    </xf>
    <xf numFmtId="0" fontId="44" fillId="45" borderId="15" xfId="0" applyFont="1" applyFill="1" applyBorder="1" applyAlignment="1">
      <alignment vertical="center"/>
    </xf>
    <xf numFmtId="165" fontId="47" fillId="0" borderId="19" xfId="1" applyFont="1" applyFill="1" applyBorder="1" applyAlignment="1">
      <alignment vertical="center"/>
    </xf>
    <xf numFmtId="0" fontId="48" fillId="0" borderId="0" xfId="0" applyFont="1" applyAlignment="1">
      <alignment vertical="center"/>
    </xf>
    <xf numFmtId="165" fontId="48" fillId="0" borderId="19" xfId="1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0" borderId="15" xfId="0" applyFont="1" applyBorder="1" applyAlignment="1">
      <alignment vertical="center"/>
    </xf>
    <xf numFmtId="165" fontId="48" fillId="0" borderId="19" xfId="1" applyFont="1" applyBorder="1" applyAlignment="1">
      <alignment vertical="center"/>
    </xf>
    <xf numFmtId="9" fontId="49" fillId="0" borderId="15" xfId="0" applyNumberFormat="1" applyFont="1" applyBorder="1" applyAlignment="1">
      <alignment vertical="center"/>
    </xf>
    <xf numFmtId="165" fontId="49" fillId="0" borderId="19" xfId="1" applyFont="1" applyBorder="1" applyAlignment="1">
      <alignment vertical="center"/>
    </xf>
    <xf numFmtId="9" fontId="48" fillId="0" borderId="15" xfId="0" applyNumberFormat="1" applyFont="1" applyBorder="1" applyAlignment="1">
      <alignment horizontal="center" vertical="center"/>
    </xf>
    <xf numFmtId="165" fontId="48" fillId="0" borderId="0" xfId="1" applyFont="1" applyAlignment="1">
      <alignment vertical="center"/>
    </xf>
    <xf numFmtId="165" fontId="49" fillId="0" borderId="0" xfId="1" applyFont="1" applyAlignment="1">
      <alignment vertical="center"/>
    </xf>
    <xf numFmtId="0" fontId="49" fillId="0" borderId="0" xfId="0" applyFont="1" applyAlignment="1">
      <alignment vertical="center"/>
    </xf>
    <xf numFmtId="0" fontId="49" fillId="0" borderId="0" xfId="0" applyFont="1" applyAlignment="1">
      <alignment horizontal="center" vertical="center"/>
    </xf>
    <xf numFmtId="165" fontId="43" fillId="0" borderId="0" xfId="1" applyFont="1" applyFill="1" applyAlignment="1">
      <alignment vertical="center"/>
    </xf>
    <xf numFmtId="0" fontId="43" fillId="0" borderId="0" xfId="0" applyFont="1" applyAlignment="1">
      <alignment vertical="center"/>
    </xf>
    <xf numFmtId="165" fontId="48" fillId="0" borderId="38" xfId="1" applyFont="1" applyBorder="1" applyAlignment="1">
      <alignment vertical="center"/>
    </xf>
    <xf numFmtId="165" fontId="48" fillId="0" borderId="39" xfId="1" applyFont="1" applyBorder="1" applyAlignment="1">
      <alignment vertical="center"/>
    </xf>
    <xf numFmtId="1" fontId="44" fillId="45" borderId="38" xfId="1" applyNumberFormat="1" applyFont="1" applyFill="1" applyBorder="1" applyAlignment="1">
      <alignment horizontal="center" vertical="center"/>
    </xf>
    <xf numFmtId="1" fontId="44" fillId="45" borderId="39" xfId="1" applyNumberFormat="1" applyFont="1" applyFill="1" applyBorder="1" applyAlignment="1">
      <alignment horizontal="center" vertical="center"/>
    </xf>
    <xf numFmtId="1" fontId="44" fillId="57" borderId="38" xfId="1" applyNumberFormat="1" applyFont="1" applyFill="1" applyBorder="1" applyAlignment="1">
      <alignment horizontal="center" vertical="center"/>
    </xf>
    <xf numFmtId="1" fontId="44" fillId="57" borderId="39" xfId="1" applyNumberFormat="1" applyFont="1" applyFill="1" applyBorder="1" applyAlignment="1">
      <alignment horizontal="center" vertical="center"/>
    </xf>
    <xf numFmtId="0" fontId="49" fillId="0" borderId="38" xfId="0" applyFont="1" applyBorder="1" applyAlignment="1">
      <alignment horizontal="center" vertical="center"/>
    </xf>
    <xf numFmtId="0" fontId="49" fillId="0" borderId="40" xfId="0" applyFont="1" applyBorder="1" applyAlignment="1">
      <alignment horizontal="center" vertical="center"/>
    </xf>
    <xf numFmtId="0" fontId="48" fillId="0" borderId="47" xfId="0" applyFont="1" applyBorder="1" applyAlignment="1">
      <alignment vertical="center"/>
    </xf>
    <xf numFmtId="0" fontId="49" fillId="0" borderId="25" xfId="0" applyFont="1" applyBorder="1" applyAlignment="1">
      <alignment horizontal="center" vertical="center"/>
    </xf>
    <xf numFmtId="0" fontId="48" fillId="0" borderId="25" xfId="0" applyFont="1" applyBorder="1" applyAlignment="1">
      <alignment vertical="center"/>
    </xf>
    <xf numFmtId="0" fontId="48" fillId="0" borderId="25" xfId="0" applyFont="1" applyBorder="1" applyAlignment="1">
      <alignment horizontal="center" vertical="center"/>
    </xf>
    <xf numFmtId="165" fontId="48" fillId="0" borderId="25" xfId="1" applyFont="1" applyBorder="1" applyAlignment="1">
      <alignment vertical="center"/>
    </xf>
    <xf numFmtId="0" fontId="44" fillId="45" borderId="46" xfId="0" applyFont="1" applyFill="1" applyBorder="1" applyAlignment="1">
      <alignment vertical="center"/>
    </xf>
    <xf numFmtId="165" fontId="48" fillId="0" borderId="39" xfId="1" applyFont="1" applyBorder="1" applyAlignment="1">
      <alignment horizontal="center" vertical="center"/>
    </xf>
    <xf numFmtId="165" fontId="49" fillId="0" borderId="39" xfId="1" applyFont="1" applyBorder="1" applyAlignment="1">
      <alignment vertical="center"/>
    </xf>
    <xf numFmtId="0" fontId="49" fillId="0" borderId="47" xfId="0" applyFont="1" applyBorder="1" applyAlignment="1">
      <alignment vertical="center"/>
    </xf>
    <xf numFmtId="0" fontId="48" fillId="0" borderId="47" xfId="0" applyFont="1" applyBorder="1" applyAlignment="1">
      <alignment horizontal="center" vertical="center"/>
    </xf>
    <xf numFmtId="165" fontId="48" fillId="0" borderId="38" xfId="1" applyFont="1" applyBorder="1" applyAlignment="1">
      <alignment horizontal="center" vertical="center"/>
    </xf>
    <xf numFmtId="165" fontId="49" fillId="0" borderId="38" xfId="1" applyFont="1" applyBorder="1" applyAlignment="1">
      <alignment vertical="center"/>
    </xf>
    <xf numFmtId="165" fontId="48" fillId="0" borderId="40" xfId="1" applyFont="1" applyBorder="1" applyAlignment="1">
      <alignment vertical="center"/>
    </xf>
    <xf numFmtId="165" fontId="48" fillId="0" borderId="41" xfId="1" applyFont="1" applyBorder="1" applyAlignment="1">
      <alignment vertical="center"/>
    </xf>
    <xf numFmtId="165" fontId="48" fillId="0" borderId="15" xfId="0" applyNumberFormat="1" applyFont="1" applyBorder="1" applyAlignment="1">
      <alignment vertical="center"/>
    </xf>
    <xf numFmtId="165" fontId="16" fillId="33" borderId="0" xfId="1" applyFont="1" applyFill="1" applyAlignment="1">
      <alignment horizontal="center" vertical="center"/>
    </xf>
    <xf numFmtId="0" fontId="49" fillId="0" borderId="28" xfId="0" applyFont="1" applyBorder="1" applyAlignment="1">
      <alignment horizontal="center" vertical="center"/>
    </xf>
    <xf numFmtId="0" fontId="49" fillId="0" borderId="25" xfId="0" applyFont="1" applyBorder="1" applyAlignment="1">
      <alignment vertical="center"/>
    </xf>
    <xf numFmtId="165" fontId="48" fillId="0" borderId="0" xfId="1" applyFont="1" applyBorder="1" applyAlignment="1">
      <alignment vertical="center"/>
    </xf>
    <xf numFmtId="165" fontId="48" fillId="0" borderId="28" xfId="1" applyFont="1" applyBorder="1" applyAlignment="1">
      <alignment vertical="center"/>
    </xf>
    <xf numFmtId="165" fontId="48" fillId="0" borderId="27" xfId="1" applyFont="1" applyBorder="1" applyAlignment="1">
      <alignment vertical="center"/>
    </xf>
    <xf numFmtId="9" fontId="48" fillId="0" borderId="0" xfId="2" applyFont="1" applyAlignment="1">
      <alignment vertical="center"/>
    </xf>
    <xf numFmtId="10" fontId="48" fillId="0" borderId="0" xfId="2" applyNumberFormat="1" applyFont="1" applyAlignment="1">
      <alignment vertical="center"/>
    </xf>
    <xf numFmtId="165" fontId="0" fillId="0" borderId="0" xfId="1" applyFont="1" applyAlignment="1">
      <alignment horizontal="center"/>
    </xf>
    <xf numFmtId="49" fontId="0" fillId="0" borderId="0" xfId="0" applyNumberFormat="1" applyAlignment="1">
      <alignment horizontal="center"/>
    </xf>
    <xf numFmtId="0" fontId="14" fillId="0" borderId="0" xfId="0" applyFont="1" applyAlignment="1">
      <alignment horizontal="right"/>
    </xf>
    <xf numFmtId="165" fontId="21" fillId="0" borderId="0" xfId="0" applyNumberFormat="1" applyFont="1" applyAlignment="1">
      <alignment horizontal="right"/>
    </xf>
    <xf numFmtId="165" fontId="14" fillId="0" borderId="0" xfId="0" applyNumberFormat="1" applyFont="1" applyAlignment="1">
      <alignment horizontal="right"/>
    </xf>
    <xf numFmtId="0" fontId="31" fillId="0" borderId="37" xfId="0" applyFont="1" applyBorder="1" applyAlignment="1">
      <alignment vertical="center" wrapText="1"/>
    </xf>
    <xf numFmtId="169" fontId="16" fillId="0" borderId="37" xfId="0" applyNumberFormat="1" applyFont="1" applyBorder="1" applyAlignment="1">
      <alignment vertical="center" wrapText="1"/>
    </xf>
    <xf numFmtId="169" fontId="0" fillId="53" borderId="37" xfId="0" applyNumberFormat="1" applyFill="1" applyBorder="1" applyAlignment="1">
      <alignment vertical="center" wrapText="1"/>
    </xf>
    <xf numFmtId="0" fontId="51" fillId="0" borderId="0" xfId="0" applyFont="1" applyAlignment="1">
      <alignment horizontal="center"/>
    </xf>
    <xf numFmtId="0" fontId="51" fillId="0" borderId="0" xfId="0" applyFont="1"/>
    <xf numFmtId="165" fontId="36" fillId="40" borderId="0" xfId="1" applyFont="1" applyFill="1" applyBorder="1" applyAlignment="1">
      <alignment vertical="center"/>
    </xf>
    <xf numFmtId="165" fontId="35" fillId="40" borderId="0" xfId="1" applyFont="1" applyFill="1" applyAlignment="1">
      <alignment horizontal="center" vertical="center"/>
    </xf>
    <xf numFmtId="165" fontId="35" fillId="40" borderId="0" xfId="1" applyFont="1" applyFill="1" applyAlignment="1">
      <alignment vertical="center"/>
    </xf>
    <xf numFmtId="165" fontId="36" fillId="40" borderId="0" xfId="1" applyFont="1" applyFill="1" applyAlignment="1">
      <alignment horizontal="center" vertical="center"/>
    </xf>
    <xf numFmtId="0" fontId="13" fillId="58" borderId="37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165" fontId="23" fillId="0" borderId="26" xfId="1" applyFont="1" applyFill="1" applyBorder="1" applyAlignment="1">
      <alignment vertical="center"/>
    </xf>
    <xf numFmtId="165" fontId="16" fillId="0" borderId="0" xfId="0" applyNumberFormat="1" applyFont="1" applyAlignment="1">
      <alignment vertical="center" wrapText="1"/>
    </xf>
    <xf numFmtId="9" fontId="0" fillId="0" borderId="37" xfId="2" applyFont="1" applyBorder="1" applyAlignment="1">
      <alignment horizontal="center" vertical="center" wrapText="1"/>
    </xf>
    <xf numFmtId="166" fontId="0" fillId="0" borderId="37" xfId="2" applyNumberFormat="1" applyFont="1" applyBorder="1" applyAlignment="1">
      <alignment horizontal="center" vertical="center" wrapText="1"/>
    </xf>
    <xf numFmtId="0" fontId="0" fillId="0" borderId="61" xfId="0" applyBorder="1" applyAlignment="1">
      <alignment vertical="center" wrapText="1"/>
    </xf>
    <xf numFmtId="9" fontId="16" fillId="0" borderId="37" xfId="2" applyFont="1" applyBorder="1" applyAlignment="1">
      <alignment horizontal="center" vertical="center" wrapText="1"/>
    </xf>
    <xf numFmtId="0" fontId="21" fillId="0" borderId="0" xfId="0" applyFont="1" applyAlignment="1">
      <alignment horizontal="centerContinuous"/>
    </xf>
    <xf numFmtId="165" fontId="18" fillId="0" borderId="61" xfId="0" applyNumberFormat="1" applyFont="1" applyBorder="1" applyAlignment="1">
      <alignment horizontal="right"/>
    </xf>
    <xf numFmtId="165" fontId="24" fillId="0" borderId="61" xfId="0" applyNumberFormat="1" applyFont="1" applyBorder="1" applyAlignment="1">
      <alignment horizontal="right"/>
    </xf>
    <xf numFmtId="165" fontId="24" fillId="0" borderId="64" xfId="0" applyNumberFormat="1" applyFont="1" applyBorder="1" applyAlignment="1">
      <alignment horizontal="right"/>
    </xf>
    <xf numFmtId="165" fontId="16" fillId="0" borderId="37" xfId="0" applyNumberFormat="1" applyFont="1" applyBorder="1"/>
    <xf numFmtId="165" fontId="0" fillId="0" borderId="37" xfId="1" applyFont="1" applyBorder="1" applyAlignment="1">
      <alignment horizontal="center"/>
    </xf>
    <xf numFmtId="165" fontId="0" fillId="0" borderId="37" xfId="1" applyFont="1" applyBorder="1"/>
    <xf numFmtId="165" fontId="1" fillId="0" borderId="37" xfId="1" applyFont="1" applyBorder="1" applyAlignment="1">
      <alignment horizontal="center"/>
    </xf>
    <xf numFmtId="165" fontId="16" fillId="0" borderId="37" xfId="1" applyFont="1" applyBorder="1" applyAlignment="1">
      <alignment horizontal="center"/>
    </xf>
    <xf numFmtId="165" fontId="16" fillId="0" borderId="62" xfId="0" applyNumberFormat="1" applyFont="1" applyBorder="1"/>
    <xf numFmtId="165" fontId="16" fillId="0" borderId="61" xfId="1" applyFont="1" applyBorder="1"/>
    <xf numFmtId="165" fontId="0" fillId="0" borderId="62" xfId="1" applyFont="1" applyBorder="1" applyAlignment="1">
      <alignment horizontal="center"/>
    </xf>
    <xf numFmtId="165" fontId="0" fillId="0" borderId="61" xfId="1" applyFont="1" applyBorder="1"/>
    <xf numFmtId="165" fontId="16" fillId="0" borderId="62" xfId="1" applyFont="1" applyBorder="1" applyAlignment="1">
      <alignment horizontal="center"/>
    </xf>
    <xf numFmtId="165" fontId="0" fillId="0" borderId="70" xfId="1" applyFont="1" applyBorder="1" applyAlignment="1">
      <alignment horizontal="center"/>
    </xf>
    <xf numFmtId="165" fontId="0" fillId="0" borderId="63" xfId="1" applyFont="1" applyBorder="1" applyAlignment="1">
      <alignment horizontal="center"/>
    </xf>
    <xf numFmtId="165" fontId="0" fillId="0" borderId="64" xfId="1" applyFont="1" applyBorder="1"/>
    <xf numFmtId="0" fontId="0" fillId="0" borderId="37" xfId="0" applyBorder="1"/>
    <xf numFmtId="0" fontId="16" fillId="0" borderId="37" xfId="0" applyFont="1" applyBorder="1"/>
    <xf numFmtId="165" fontId="0" fillId="0" borderId="37" xfId="0" applyNumberFormat="1" applyBorder="1"/>
    <xf numFmtId="165" fontId="0" fillId="0" borderId="37" xfId="0" applyNumberFormat="1" applyBorder="1" applyAlignment="1">
      <alignment horizontal="center"/>
    </xf>
    <xf numFmtId="165" fontId="16" fillId="0" borderId="37" xfId="0" applyNumberFormat="1" applyFont="1" applyBorder="1" applyAlignment="1">
      <alignment horizontal="center"/>
    </xf>
    <xf numFmtId="165" fontId="0" fillId="0" borderId="63" xfId="1" applyFont="1" applyBorder="1"/>
    <xf numFmtId="165" fontId="0" fillId="0" borderId="63" xfId="0" applyNumberFormat="1" applyBorder="1"/>
    <xf numFmtId="165" fontId="18" fillId="33" borderId="61" xfId="0" applyNumberFormat="1" applyFont="1" applyFill="1" applyBorder="1" applyAlignment="1">
      <alignment horizontal="right"/>
    </xf>
    <xf numFmtId="9" fontId="16" fillId="34" borderId="37" xfId="0" applyNumberFormat="1" applyFont="1" applyFill="1" applyBorder="1" applyAlignment="1">
      <alignment horizontal="center" vertical="center" wrapText="1"/>
    </xf>
    <xf numFmtId="0" fontId="16" fillId="33" borderId="37" xfId="0" applyFont="1" applyFill="1" applyBorder="1" applyAlignment="1">
      <alignment horizontal="center" vertical="center" wrapText="1"/>
    </xf>
    <xf numFmtId="9" fontId="16" fillId="0" borderId="37" xfId="0" applyNumberFormat="1" applyFont="1" applyBorder="1" applyAlignment="1">
      <alignment horizontal="center" vertical="center" wrapText="1"/>
    </xf>
    <xf numFmtId="9" fontId="16" fillId="0" borderId="37" xfId="0" applyNumberFormat="1" applyFont="1" applyBorder="1" applyAlignment="1">
      <alignment vertical="center" wrapText="1"/>
    </xf>
    <xf numFmtId="9" fontId="0" fillId="0" borderId="37" xfId="0" applyNumberFormat="1" applyBorder="1" applyAlignment="1">
      <alignment horizontal="center" vertical="center" wrapText="1"/>
    </xf>
    <xf numFmtId="9" fontId="0" fillId="0" borderId="37" xfId="0" applyNumberFormat="1" applyBorder="1" applyAlignment="1">
      <alignment vertical="center" wrapText="1"/>
    </xf>
    <xf numFmtId="0" fontId="52" fillId="0" borderId="0" xfId="0" applyFont="1" applyAlignment="1">
      <alignment vertical="center" wrapText="1"/>
    </xf>
    <xf numFmtId="165" fontId="16" fillId="0" borderId="37" xfId="0" applyNumberFormat="1" applyFont="1" applyBorder="1" applyAlignment="1">
      <alignment vertical="center" wrapText="1"/>
    </xf>
    <xf numFmtId="165" fontId="16" fillId="34" borderId="37" xfId="0" applyNumberFormat="1" applyFont="1" applyFill="1" applyBorder="1" applyAlignment="1">
      <alignment vertical="center" wrapText="1"/>
    </xf>
    <xf numFmtId="165" fontId="16" fillId="0" borderId="37" xfId="0" applyNumberFormat="1" applyFont="1" applyBorder="1" applyAlignment="1">
      <alignment horizontal="center" vertical="center" wrapText="1"/>
    </xf>
    <xf numFmtId="165" fontId="16" fillId="33" borderId="37" xfId="0" applyNumberFormat="1" applyFont="1" applyFill="1" applyBorder="1" applyAlignment="1">
      <alignment vertical="center" wrapText="1"/>
    </xf>
    <xf numFmtId="9" fontId="0" fillId="53" borderId="37" xfId="2" applyFont="1" applyFill="1" applyBorder="1" applyAlignment="1">
      <alignment horizontal="center" vertical="center" wrapText="1"/>
    </xf>
    <xf numFmtId="9" fontId="0" fillId="33" borderId="37" xfId="2" applyFont="1" applyFill="1" applyBorder="1" applyAlignment="1">
      <alignment horizontal="center" vertical="center" wrapText="1"/>
    </xf>
    <xf numFmtId="165" fontId="52" fillId="0" borderId="0" xfId="0" applyNumberFormat="1" applyFont="1" applyAlignment="1">
      <alignment vertical="center" wrapText="1"/>
    </xf>
    <xf numFmtId="9" fontId="52" fillId="0" borderId="0" xfId="0" applyNumberFormat="1" applyFont="1" applyAlignment="1">
      <alignment horizontal="center" vertical="center" wrapText="1"/>
    </xf>
    <xf numFmtId="165" fontId="0" fillId="0" borderId="37" xfId="0" applyNumberFormat="1" applyBorder="1" applyAlignment="1">
      <alignment horizontal="center" vertical="center" wrapText="1"/>
    </xf>
    <xf numFmtId="0" fontId="31" fillId="0" borderId="16" xfId="0" applyFont="1" applyBorder="1" applyAlignment="1">
      <alignment horizontal="right" vertical="center" wrapText="1"/>
    </xf>
    <xf numFmtId="165" fontId="16" fillId="45" borderId="37" xfId="0" applyNumberFormat="1" applyFont="1" applyFill="1" applyBorder="1" applyAlignment="1">
      <alignment horizontal="center" vertical="center" wrapText="1"/>
    </xf>
    <xf numFmtId="165" fontId="16" fillId="55" borderId="37" xfId="0" applyNumberFormat="1" applyFont="1" applyFill="1" applyBorder="1" applyAlignment="1">
      <alignment horizontal="center" vertical="center" wrapText="1"/>
    </xf>
    <xf numFmtId="165" fontId="41" fillId="0" borderId="37" xfId="0" applyNumberFormat="1" applyFont="1" applyBorder="1" applyAlignment="1">
      <alignment horizontal="center" vertical="center" wrapText="1"/>
    </xf>
    <xf numFmtId="0" fontId="18" fillId="0" borderId="37" xfId="0" applyFont="1" applyBorder="1" applyAlignment="1">
      <alignment vertical="center" wrapText="1"/>
    </xf>
    <xf numFmtId="169" fontId="0" fillId="0" borderId="37" xfId="44" applyNumberFormat="1" applyFont="1" applyFill="1" applyBorder="1" applyAlignment="1">
      <alignment vertical="center" wrapText="1"/>
    </xf>
    <xf numFmtId="10" fontId="40" fillId="0" borderId="15" xfId="2" applyNumberFormat="1" applyFont="1" applyFill="1" applyBorder="1" applyAlignment="1">
      <alignment horizontal="center" vertical="center"/>
    </xf>
    <xf numFmtId="10" fontId="51" fillId="0" borderId="15" xfId="2" applyNumberFormat="1" applyFont="1" applyFill="1" applyBorder="1" applyAlignment="1">
      <alignment horizontal="center" vertical="center"/>
    </xf>
    <xf numFmtId="165" fontId="48" fillId="0" borderId="17" xfId="1" applyFont="1" applyBorder="1" applyAlignment="1">
      <alignment vertical="center"/>
    </xf>
    <xf numFmtId="164" fontId="48" fillId="0" borderId="0" xfId="44" applyFont="1" applyAlignment="1">
      <alignment vertical="center"/>
    </xf>
    <xf numFmtId="164" fontId="49" fillId="0" borderId="0" xfId="44" applyFont="1" applyAlignment="1">
      <alignment vertical="center"/>
    </xf>
    <xf numFmtId="1" fontId="44" fillId="45" borderId="62" xfId="1" applyNumberFormat="1" applyFont="1" applyFill="1" applyBorder="1" applyAlignment="1">
      <alignment horizontal="center" vertical="center"/>
    </xf>
    <xf numFmtId="1" fontId="44" fillId="45" borderId="61" xfId="1" applyNumberFormat="1" applyFont="1" applyFill="1" applyBorder="1" applyAlignment="1">
      <alignment horizontal="center" vertical="center"/>
    </xf>
    <xf numFmtId="165" fontId="43" fillId="0" borderId="62" xfId="1" applyFont="1" applyFill="1" applyBorder="1" applyAlignment="1">
      <alignment horizontal="center" vertical="center"/>
    </xf>
    <xf numFmtId="1" fontId="43" fillId="0" borderId="61" xfId="1" applyNumberFormat="1" applyFont="1" applyFill="1" applyBorder="1" applyAlignment="1">
      <alignment horizontal="center" vertical="center"/>
    </xf>
    <xf numFmtId="165" fontId="49" fillId="0" borderId="62" xfId="1" applyFont="1" applyBorder="1" applyAlignment="1">
      <alignment vertical="center"/>
    </xf>
    <xf numFmtId="165" fontId="49" fillId="0" borderId="61" xfId="1" applyFont="1" applyBorder="1" applyAlignment="1">
      <alignment vertical="center"/>
    </xf>
    <xf numFmtId="165" fontId="48" fillId="0" borderId="62" xfId="1" applyFont="1" applyBorder="1" applyAlignment="1">
      <alignment vertical="center"/>
    </xf>
    <xf numFmtId="165" fontId="48" fillId="0" borderId="61" xfId="1" applyFont="1" applyBorder="1" applyAlignment="1">
      <alignment vertical="center"/>
    </xf>
    <xf numFmtId="169" fontId="49" fillId="0" borderId="62" xfId="44" applyNumberFormat="1" applyFont="1" applyBorder="1" applyAlignment="1">
      <alignment vertical="center"/>
    </xf>
    <xf numFmtId="173" fontId="49" fillId="0" borderId="61" xfId="2" applyNumberFormat="1" applyFont="1" applyBorder="1" applyAlignment="1">
      <alignment horizontal="center" vertical="center"/>
    </xf>
    <xf numFmtId="169" fontId="48" fillId="0" borderId="62" xfId="44" applyNumberFormat="1" applyFont="1" applyBorder="1" applyAlignment="1">
      <alignment vertical="center"/>
    </xf>
    <xf numFmtId="173" fontId="48" fillId="0" borderId="61" xfId="2" applyNumberFormat="1" applyFont="1" applyBorder="1" applyAlignment="1">
      <alignment horizontal="center" vertical="center"/>
    </xf>
    <xf numFmtId="169" fontId="49" fillId="0" borderId="70" xfId="44" applyNumberFormat="1" applyFont="1" applyBorder="1" applyAlignment="1">
      <alignment vertical="center"/>
    </xf>
    <xf numFmtId="173" fontId="49" fillId="0" borderId="64" xfId="2" applyNumberFormat="1" applyFont="1" applyBorder="1" applyAlignment="1">
      <alignment horizontal="center" vertical="center"/>
    </xf>
    <xf numFmtId="1" fontId="44" fillId="57" borderId="62" xfId="1" applyNumberFormat="1" applyFont="1" applyFill="1" applyBorder="1" applyAlignment="1">
      <alignment horizontal="center" vertical="center"/>
    </xf>
    <xf numFmtId="1" fontId="44" fillId="57" borderId="61" xfId="1" applyNumberFormat="1" applyFont="1" applyFill="1" applyBorder="1" applyAlignment="1">
      <alignment horizontal="center" vertical="center"/>
    </xf>
    <xf numFmtId="166" fontId="48" fillId="0" borderId="61" xfId="2" applyNumberFormat="1" applyFont="1" applyBorder="1" applyAlignment="1">
      <alignment horizontal="center" vertical="center"/>
    </xf>
    <xf numFmtId="10" fontId="44" fillId="45" borderId="39" xfId="2" applyNumberFormat="1" applyFont="1" applyFill="1" applyBorder="1" applyAlignment="1">
      <alignment horizontal="center" vertical="center"/>
    </xf>
    <xf numFmtId="10" fontId="48" fillId="0" borderId="39" xfId="2" applyNumberFormat="1" applyFont="1" applyBorder="1" applyAlignment="1">
      <alignment horizontal="center" vertical="center"/>
    </xf>
    <xf numFmtId="10" fontId="48" fillId="0" borderId="39" xfId="2" applyNumberFormat="1" applyFont="1" applyBorder="1" applyAlignment="1">
      <alignment vertical="center"/>
    </xf>
    <xf numFmtId="10" fontId="49" fillId="0" borderId="39" xfId="2" applyNumberFormat="1" applyFont="1" applyBorder="1" applyAlignment="1">
      <alignment vertical="center"/>
    </xf>
    <xf numFmtId="10" fontId="48" fillId="0" borderId="41" xfId="2" applyNumberFormat="1" applyFont="1" applyBorder="1" applyAlignment="1">
      <alignment vertical="center"/>
    </xf>
    <xf numFmtId="10" fontId="48" fillId="0" borderId="27" xfId="2" applyNumberFormat="1" applyFont="1" applyBorder="1" applyAlignment="1">
      <alignment vertical="center"/>
    </xf>
    <xf numFmtId="10" fontId="48" fillId="0" borderId="25" xfId="2" applyNumberFormat="1" applyFont="1" applyBorder="1" applyAlignment="1">
      <alignment vertical="center"/>
    </xf>
    <xf numFmtId="10" fontId="44" fillId="45" borderId="61" xfId="2" applyNumberFormat="1" applyFont="1" applyFill="1" applyBorder="1" applyAlignment="1">
      <alignment horizontal="center" vertical="center"/>
    </xf>
    <xf numFmtId="10" fontId="43" fillId="0" borderId="61" xfId="2" applyNumberFormat="1" applyFont="1" applyFill="1" applyBorder="1" applyAlignment="1">
      <alignment horizontal="center" vertical="center"/>
    </xf>
    <xf numFmtId="10" fontId="49" fillId="0" borderId="61" xfId="2" applyNumberFormat="1" applyFont="1" applyBorder="1" applyAlignment="1">
      <alignment vertical="center"/>
    </xf>
    <xf numFmtId="10" fontId="48" fillId="0" borderId="61" xfId="2" applyNumberFormat="1" applyFont="1" applyBorder="1" applyAlignment="1">
      <alignment vertical="center"/>
    </xf>
    <xf numFmtId="10" fontId="49" fillId="0" borderId="61" xfId="2" applyNumberFormat="1" applyFont="1" applyBorder="1" applyAlignment="1">
      <alignment horizontal="center" vertical="center"/>
    </xf>
    <xf numFmtId="10" fontId="48" fillId="0" borderId="61" xfId="2" applyNumberFormat="1" applyFont="1" applyBorder="1" applyAlignment="1">
      <alignment horizontal="center" vertical="center"/>
    </xf>
    <xf numFmtId="10" fontId="49" fillId="0" borderId="64" xfId="2" applyNumberFormat="1" applyFont="1" applyBorder="1" applyAlignment="1">
      <alignment horizontal="center" vertical="center"/>
    </xf>
    <xf numFmtId="10" fontId="44" fillId="57" borderId="39" xfId="2" applyNumberFormat="1" applyFont="1" applyFill="1" applyBorder="1" applyAlignment="1">
      <alignment horizontal="center" vertical="center"/>
    </xf>
    <xf numFmtId="10" fontId="44" fillId="57" borderId="61" xfId="2" applyNumberFormat="1" applyFont="1" applyFill="1" applyBorder="1" applyAlignment="1">
      <alignment horizontal="center" vertical="center"/>
    </xf>
    <xf numFmtId="10" fontId="49" fillId="0" borderId="61" xfId="2" applyNumberFormat="1" applyFont="1" applyFill="1" applyBorder="1" applyAlignment="1">
      <alignment horizontal="center" vertical="center"/>
    </xf>
    <xf numFmtId="10" fontId="48" fillId="0" borderId="61" xfId="2" applyNumberFormat="1" applyFont="1" applyFill="1" applyBorder="1" applyAlignment="1">
      <alignment horizontal="center" vertical="center"/>
    </xf>
    <xf numFmtId="10" fontId="49" fillId="0" borderId="64" xfId="2" applyNumberFormat="1" applyFont="1" applyFill="1" applyBorder="1" applyAlignment="1">
      <alignment horizontal="center" vertical="center"/>
    </xf>
    <xf numFmtId="0" fontId="16" fillId="0" borderId="37" xfId="0" applyFont="1" applyBorder="1" applyAlignment="1">
      <alignment horizontal="center"/>
    </xf>
    <xf numFmtId="0" fontId="0" fillId="0" borderId="37" xfId="0" applyBorder="1" applyAlignment="1">
      <alignment horizontal="center"/>
    </xf>
    <xf numFmtId="165" fontId="14" fillId="0" borderId="37" xfId="1" applyFont="1" applyBorder="1"/>
    <xf numFmtId="0" fontId="13" fillId="45" borderId="37" xfId="0" applyFont="1" applyFill="1" applyBorder="1" applyAlignment="1">
      <alignment horizontal="center" vertical="center"/>
    </xf>
    <xf numFmtId="0" fontId="13" fillId="45" borderId="37" xfId="0" applyFont="1" applyFill="1" applyBorder="1" applyAlignment="1">
      <alignment vertical="center"/>
    </xf>
    <xf numFmtId="0" fontId="16" fillId="0" borderId="37" xfId="0" applyFont="1" applyBorder="1" applyAlignment="1">
      <alignment horizontal="center" vertical="center"/>
    </xf>
    <xf numFmtId="165" fontId="0" fillId="0" borderId="37" xfId="0" applyNumberFormat="1" applyBorder="1" applyAlignment="1">
      <alignment vertical="center"/>
    </xf>
    <xf numFmtId="165" fontId="0" fillId="0" borderId="37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65" fontId="0" fillId="0" borderId="37" xfId="1" applyFont="1" applyBorder="1" applyAlignment="1">
      <alignment horizontal="center" vertical="center"/>
    </xf>
    <xf numFmtId="10" fontId="0" fillId="0" borderId="37" xfId="2" applyNumberFormat="1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16" fillId="0" borderId="37" xfId="0" applyFont="1" applyBorder="1" applyAlignment="1">
      <alignment vertical="center"/>
    </xf>
    <xf numFmtId="165" fontId="16" fillId="0" borderId="37" xfId="1" applyFont="1" applyBorder="1" applyAlignment="1">
      <alignment horizontal="center" vertical="center"/>
    </xf>
    <xf numFmtId="10" fontId="16" fillId="0" borderId="37" xfId="2" applyNumberFormat="1" applyFont="1" applyBorder="1" applyAlignment="1">
      <alignment horizontal="center" vertical="center"/>
    </xf>
    <xf numFmtId="169" fontId="18" fillId="0" borderId="37" xfId="44" applyNumberFormat="1" applyFont="1" applyFill="1" applyBorder="1" applyAlignment="1">
      <alignment vertical="center" wrapText="1"/>
    </xf>
    <xf numFmtId="164" fontId="16" fillId="0" borderId="37" xfId="44" applyFont="1" applyBorder="1" applyAlignment="1">
      <alignment vertical="center"/>
    </xf>
    <xf numFmtId="0" fontId="16" fillId="53" borderId="18" xfId="0" applyFont="1" applyFill="1" applyBorder="1" applyAlignment="1">
      <alignment horizontal="center" vertical="center"/>
    </xf>
    <xf numFmtId="0" fontId="0" fillId="53" borderId="18" xfId="0" applyFill="1" applyBorder="1" applyAlignment="1">
      <alignment vertical="center"/>
    </xf>
    <xf numFmtId="0" fontId="0" fillId="53" borderId="18" xfId="0" applyFill="1" applyBorder="1" applyAlignment="1">
      <alignment horizontal="center" vertical="center"/>
    </xf>
    <xf numFmtId="0" fontId="50" fillId="0" borderId="77" xfId="0" applyFont="1" applyBorder="1" applyAlignment="1">
      <alignment horizontal="center" vertical="center"/>
    </xf>
    <xf numFmtId="0" fontId="49" fillId="0" borderId="77" xfId="0" applyFont="1" applyBorder="1" applyAlignment="1">
      <alignment horizontal="center" vertical="center"/>
    </xf>
    <xf numFmtId="0" fontId="48" fillId="0" borderId="77" xfId="0" applyFont="1" applyBorder="1" applyAlignment="1">
      <alignment horizontal="center" vertical="center"/>
    </xf>
    <xf numFmtId="0" fontId="49" fillId="0" borderId="77" xfId="0" applyFont="1" applyBorder="1" applyAlignment="1">
      <alignment horizontal="right" vertical="center"/>
    </xf>
    <xf numFmtId="0" fontId="49" fillId="0" borderId="79" xfId="0" applyFont="1" applyBorder="1" applyAlignment="1">
      <alignment horizontal="center" vertical="center"/>
    </xf>
    <xf numFmtId="165" fontId="49" fillId="0" borderId="80" xfId="0" applyNumberFormat="1" applyFont="1" applyBorder="1" applyAlignment="1">
      <alignment vertical="center"/>
    </xf>
    <xf numFmtId="169" fontId="54" fillId="0" borderId="62" xfId="44" applyNumberFormat="1" applyFont="1" applyBorder="1" applyAlignment="1">
      <alignment vertical="center"/>
    </xf>
    <xf numFmtId="10" fontId="16" fillId="0" borderId="15" xfId="2" applyNumberFormat="1" applyFont="1" applyBorder="1" applyAlignment="1">
      <alignment horizontal="center" vertical="center"/>
    </xf>
    <xf numFmtId="0" fontId="56" fillId="0" borderId="0" xfId="0" applyFont="1" applyAlignment="1">
      <alignment vertical="center" wrapText="1"/>
    </xf>
    <xf numFmtId="164" fontId="56" fillId="0" borderId="0" xfId="44" applyFont="1" applyAlignment="1">
      <alignment horizontal="center" vertical="center" wrapText="1"/>
    </xf>
    <xf numFmtId="165" fontId="16" fillId="34" borderId="37" xfId="0" applyNumberFormat="1" applyFont="1" applyFill="1" applyBorder="1" applyAlignment="1">
      <alignment horizontal="center" vertical="center" wrapText="1"/>
    </xf>
    <xf numFmtId="165" fontId="13" fillId="45" borderId="37" xfId="1" applyFont="1" applyFill="1" applyBorder="1" applyAlignment="1">
      <alignment horizontal="center" vertical="center"/>
    </xf>
    <xf numFmtId="165" fontId="36" fillId="0" borderId="37" xfId="1" applyFont="1" applyFill="1" applyBorder="1" applyAlignment="1">
      <alignment horizontal="center" vertical="center"/>
    </xf>
    <xf numFmtId="0" fontId="14" fillId="0" borderId="37" xfId="0" applyFont="1" applyBorder="1" applyAlignment="1">
      <alignment vertical="center"/>
    </xf>
    <xf numFmtId="10" fontId="14" fillId="0" borderId="37" xfId="2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165" fontId="0" fillId="0" borderId="37" xfId="1" applyFont="1" applyBorder="1" applyAlignment="1">
      <alignment vertical="center"/>
    </xf>
    <xf numFmtId="165" fontId="36" fillId="0" borderId="62" xfId="1" applyFont="1" applyFill="1" applyBorder="1" applyAlignment="1">
      <alignment horizontal="center" vertical="center"/>
    </xf>
    <xf numFmtId="165" fontId="36" fillId="0" borderId="61" xfId="1" applyFont="1" applyFill="1" applyBorder="1" applyAlignment="1">
      <alignment horizontal="center" vertical="center"/>
    </xf>
    <xf numFmtId="10" fontId="14" fillId="0" borderId="62" xfId="2" applyNumberFormat="1" applyFont="1" applyBorder="1" applyAlignment="1">
      <alignment horizontal="center" vertical="center"/>
    </xf>
    <xf numFmtId="10" fontId="14" fillId="0" borderId="61" xfId="2" applyNumberFormat="1" applyFont="1" applyBorder="1" applyAlignment="1">
      <alignment horizontal="center" vertical="center"/>
    </xf>
    <xf numFmtId="165" fontId="16" fillId="0" borderId="62" xfId="0" applyNumberFormat="1" applyFont="1" applyBorder="1" applyAlignment="1">
      <alignment horizontal="center" vertical="center"/>
    </xf>
    <xf numFmtId="165" fontId="0" fillId="0" borderId="62" xfId="0" applyNumberFormat="1" applyBorder="1" applyAlignment="1">
      <alignment vertical="center"/>
    </xf>
    <xf numFmtId="165" fontId="0" fillId="0" borderId="70" xfId="0" applyNumberFormat="1" applyBorder="1" applyAlignment="1">
      <alignment vertical="center"/>
    </xf>
    <xf numFmtId="165" fontId="0" fillId="0" borderId="63" xfId="0" applyNumberFormat="1" applyBorder="1" applyAlignment="1">
      <alignment vertical="center"/>
    </xf>
    <xf numFmtId="165" fontId="16" fillId="0" borderId="37" xfId="0" applyNumberFormat="1" applyFont="1" applyBorder="1" applyAlignment="1">
      <alignment vertical="center"/>
    </xf>
    <xf numFmtId="165" fontId="0" fillId="0" borderId="61" xfId="0" applyNumberFormat="1" applyBorder="1" applyAlignment="1">
      <alignment vertical="center"/>
    </xf>
    <xf numFmtId="165" fontId="0" fillId="0" borderId="64" xfId="0" applyNumberFormat="1" applyBorder="1" applyAlignment="1">
      <alignment vertical="center"/>
    </xf>
    <xf numFmtId="0" fontId="57" fillId="0" borderId="0" xfId="0" applyFont="1" applyAlignment="1">
      <alignment vertical="center"/>
    </xf>
    <xf numFmtId="10" fontId="55" fillId="0" borderId="0" xfId="2" applyNumberFormat="1" applyFont="1" applyFill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0" fillId="0" borderId="62" xfId="0" applyBorder="1" applyAlignment="1">
      <alignment vertical="center" wrapText="1"/>
    </xf>
    <xf numFmtId="0" fontId="0" fillId="0" borderId="62" xfId="0" applyBorder="1" applyAlignment="1">
      <alignment horizontal="center" vertical="center" wrapText="1"/>
    </xf>
    <xf numFmtId="165" fontId="0" fillId="0" borderId="63" xfId="0" applyNumberFormat="1" applyBorder="1" applyAlignment="1">
      <alignment vertical="center" wrapText="1"/>
    </xf>
    <xf numFmtId="0" fontId="45" fillId="36" borderId="15" xfId="0" applyFont="1" applyFill="1" applyBorder="1" applyAlignment="1">
      <alignment horizontal="center" vertical="center" wrapText="1"/>
    </xf>
    <xf numFmtId="0" fontId="55" fillId="36" borderId="37" xfId="0" applyFont="1" applyFill="1" applyBorder="1" applyAlignment="1">
      <alignment vertical="center" wrapText="1"/>
    </xf>
    <xf numFmtId="9" fontId="16" fillId="59" borderId="37" xfId="0" applyNumberFormat="1" applyFont="1" applyFill="1" applyBorder="1" applyAlignment="1">
      <alignment horizontal="center" vertical="center" wrapText="1"/>
    </xf>
    <xf numFmtId="165" fontId="35" fillId="0" borderId="15" xfId="1" applyFont="1" applyBorder="1" applyAlignment="1">
      <alignment vertical="center" wrapText="1"/>
    </xf>
    <xf numFmtId="165" fontId="23" fillId="0" borderId="0" xfId="1" applyFont="1" applyFill="1" applyBorder="1" applyAlignment="1">
      <alignment vertical="center" wrapText="1"/>
    </xf>
    <xf numFmtId="165" fontId="35" fillId="0" borderId="0" xfId="1" applyFont="1" applyAlignment="1">
      <alignment horizontal="center" vertical="center" wrapText="1"/>
    </xf>
    <xf numFmtId="165" fontId="35" fillId="0" borderId="0" xfId="1" applyFont="1" applyAlignment="1">
      <alignment vertical="center" wrapText="1"/>
    </xf>
    <xf numFmtId="165" fontId="38" fillId="52" borderId="22" xfId="1" applyFont="1" applyFill="1" applyBorder="1" applyAlignment="1">
      <alignment vertical="center" wrapText="1"/>
    </xf>
    <xf numFmtId="165" fontId="35" fillId="0" borderId="0" xfId="1" applyFont="1" applyFill="1" applyBorder="1" applyAlignment="1">
      <alignment vertical="center" wrapText="1"/>
    </xf>
    <xf numFmtId="165" fontId="38" fillId="45" borderId="0" xfId="1" applyFont="1" applyFill="1" applyBorder="1" applyAlignment="1">
      <alignment horizontal="center" vertical="center" wrapText="1"/>
    </xf>
    <xf numFmtId="1" fontId="36" fillId="0" borderId="0" xfId="1" applyNumberFormat="1" applyFont="1" applyFill="1" applyBorder="1" applyAlignment="1">
      <alignment horizontal="right" vertical="center" wrapText="1"/>
    </xf>
    <xf numFmtId="1" fontId="35" fillId="37" borderId="0" xfId="1" applyNumberFormat="1" applyFont="1" applyFill="1" applyAlignment="1">
      <alignment horizontal="center" vertical="center" wrapText="1"/>
    </xf>
    <xf numFmtId="1" fontId="35" fillId="0" borderId="0" xfId="1" applyNumberFormat="1" applyFont="1" applyAlignment="1">
      <alignment horizontal="center" vertical="center" wrapText="1"/>
    </xf>
    <xf numFmtId="1" fontId="35" fillId="0" borderId="0" xfId="1" applyNumberFormat="1" applyFont="1" applyAlignment="1">
      <alignment vertical="center" wrapText="1"/>
    </xf>
    <xf numFmtId="1" fontId="33" fillId="0" borderId="15" xfId="1" applyNumberFormat="1" applyFont="1" applyFill="1" applyBorder="1" applyAlignment="1">
      <alignment horizontal="center" vertical="center" wrapText="1"/>
    </xf>
    <xf numFmtId="165" fontId="33" fillId="0" borderId="15" xfId="1" applyFont="1" applyFill="1" applyBorder="1" applyAlignment="1">
      <alignment horizontal="center" vertical="center" wrapText="1"/>
    </xf>
    <xf numFmtId="10" fontId="33" fillId="0" borderId="15" xfId="2" applyNumberFormat="1" applyFont="1" applyFill="1" applyBorder="1" applyAlignment="1">
      <alignment horizontal="center" vertical="center" wrapText="1"/>
    </xf>
    <xf numFmtId="165" fontId="23" fillId="0" borderId="15" xfId="1" applyFont="1" applyFill="1" applyBorder="1" applyAlignment="1">
      <alignment vertical="center" wrapText="1"/>
    </xf>
    <xf numFmtId="165" fontId="29" fillId="0" borderId="15" xfId="1" applyFont="1" applyBorder="1" applyAlignment="1">
      <alignment horizontal="right" vertical="center" wrapText="1"/>
    </xf>
    <xf numFmtId="165" fontId="37" fillId="0" borderId="0" xfId="1" applyFont="1" applyFill="1" applyBorder="1" applyAlignment="1">
      <alignment vertical="center" wrapText="1"/>
    </xf>
    <xf numFmtId="10" fontId="23" fillId="0" borderId="0" xfId="1" applyNumberFormat="1" applyFont="1" applyFill="1" applyAlignment="1">
      <alignment horizontal="center" vertical="center" wrapText="1"/>
    </xf>
    <xf numFmtId="165" fontId="23" fillId="0" borderId="0" xfId="1" applyFont="1" applyFill="1" applyAlignment="1">
      <alignment horizontal="center" vertical="center" wrapText="1"/>
    </xf>
    <xf numFmtId="165" fontId="23" fillId="0" borderId="0" xfId="1" applyFont="1" applyFill="1" applyAlignment="1">
      <alignment vertical="center" wrapText="1"/>
    </xf>
    <xf numFmtId="1" fontId="33" fillId="0" borderId="15" xfId="1" applyNumberFormat="1" applyFont="1" applyBorder="1" applyAlignment="1">
      <alignment horizontal="center" vertical="center" wrapText="1"/>
    </xf>
    <xf numFmtId="165" fontId="23" fillId="0" borderId="15" xfId="1" applyFont="1" applyBorder="1" applyAlignment="1">
      <alignment horizontal="center" vertical="center" wrapText="1"/>
    </xf>
    <xf numFmtId="10" fontId="23" fillId="0" borderId="15" xfId="2" applyNumberFormat="1" applyFont="1" applyBorder="1" applyAlignment="1">
      <alignment horizontal="center" vertical="center" wrapText="1"/>
    </xf>
    <xf numFmtId="165" fontId="36" fillId="0" borderId="15" xfId="1" applyFont="1" applyBorder="1" applyAlignment="1">
      <alignment horizontal="center" vertical="center" wrapText="1"/>
    </xf>
    <xf numFmtId="165" fontId="19" fillId="0" borderId="0" xfId="2" applyNumberFormat="1" applyFont="1" applyFill="1" applyBorder="1" applyAlignment="1">
      <alignment horizontal="right" vertical="center" wrapText="1"/>
    </xf>
    <xf numFmtId="165" fontId="23" fillId="0" borderId="0" xfId="1" applyFont="1" applyAlignment="1">
      <alignment horizontal="center" vertical="center" wrapText="1"/>
    </xf>
    <xf numFmtId="1" fontId="36" fillId="0" borderId="15" xfId="1" applyNumberFormat="1" applyFont="1" applyBorder="1" applyAlignment="1">
      <alignment horizontal="center" vertical="center" wrapText="1"/>
    </xf>
    <xf numFmtId="165" fontId="29" fillId="0" borderId="15" xfId="1" applyFont="1" applyBorder="1" applyAlignment="1">
      <alignment vertical="center" wrapText="1"/>
    </xf>
    <xf numFmtId="165" fontId="36" fillId="0" borderId="15" xfId="1" applyFont="1" applyBorder="1" applyAlignment="1">
      <alignment vertical="center" wrapText="1"/>
    </xf>
    <xf numFmtId="10" fontId="36" fillId="0" borderId="15" xfId="2" applyNumberFormat="1" applyFont="1" applyBorder="1" applyAlignment="1">
      <alignment horizontal="center" vertical="center" wrapText="1"/>
    </xf>
    <xf numFmtId="9" fontId="36" fillId="0" borderId="15" xfId="2" applyFont="1" applyBorder="1" applyAlignment="1">
      <alignment vertical="center" wrapText="1"/>
    </xf>
    <xf numFmtId="165" fontId="40" fillId="0" borderId="0" xfId="1" applyFont="1" applyFill="1" applyBorder="1" applyAlignment="1">
      <alignment vertical="center" wrapText="1"/>
    </xf>
    <xf numFmtId="165" fontId="36" fillId="0" borderId="0" xfId="1" applyFont="1" applyAlignment="1">
      <alignment vertical="center" wrapText="1"/>
    </xf>
    <xf numFmtId="165" fontId="29" fillId="0" borderId="0" xfId="1" applyFont="1" applyFill="1" applyBorder="1" applyAlignment="1">
      <alignment vertical="center" wrapText="1"/>
    </xf>
    <xf numFmtId="165" fontId="36" fillId="0" borderId="0" xfId="1" applyFont="1" applyAlignment="1">
      <alignment horizontal="center" vertical="center" wrapText="1"/>
    </xf>
    <xf numFmtId="9" fontId="35" fillId="0" borderId="15" xfId="2" applyFont="1" applyBorder="1" applyAlignment="1">
      <alignment vertical="center" wrapText="1"/>
    </xf>
    <xf numFmtId="10" fontId="20" fillId="52" borderId="0" xfId="1" applyNumberFormat="1" applyFont="1" applyFill="1" applyAlignment="1">
      <alignment horizontal="center" vertical="center" wrapText="1"/>
    </xf>
    <xf numFmtId="165" fontId="36" fillId="0" borderId="0" xfId="1" applyFont="1" applyFill="1" applyAlignment="1">
      <alignment vertical="center" wrapText="1"/>
    </xf>
    <xf numFmtId="10" fontId="35" fillId="0" borderId="15" xfId="2" applyNumberFormat="1" applyFont="1" applyBorder="1" applyAlignment="1">
      <alignment horizontal="center" vertical="center" wrapText="1"/>
    </xf>
    <xf numFmtId="165" fontId="35" fillId="35" borderId="0" xfId="1" applyFont="1" applyFill="1" applyBorder="1" applyAlignment="1">
      <alignment vertical="center" wrapText="1"/>
    </xf>
    <xf numFmtId="165" fontId="35" fillId="45" borderId="0" xfId="1" applyFont="1" applyFill="1" applyBorder="1" applyAlignment="1">
      <alignment vertical="center" wrapText="1"/>
    </xf>
    <xf numFmtId="165" fontId="35" fillId="47" borderId="0" xfId="1" applyFont="1" applyFill="1" applyBorder="1" applyAlignment="1">
      <alignment vertical="center" wrapText="1"/>
    </xf>
    <xf numFmtId="165" fontId="35" fillId="44" borderId="0" xfId="1" applyFont="1" applyFill="1" applyBorder="1" applyAlignment="1">
      <alignment vertical="center" wrapText="1"/>
    </xf>
    <xf numFmtId="165" fontId="35" fillId="48" borderId="0" xfId="1" applyFont="1" applyFill="1" applyBorder="1" applyAlignment="1">
      <alignment vertical="center" wrapText="1"/>
    </xf>
    <xf numFmtId="165" fontId="35" fillId="50" borderId="0" xfId="1" applyFont="1" applyFill="1" applyBorder="1" applyAlignment="1">
      <alignment vertical="center" wrapText="1"/>
    </xf>
    <xf numFmtId="165" fontId="35" fillId="49" borderId="0" xfId="1" applyFont="1" applyFill="1" applyBorder="1" applyAlignment="1">
      <alignment vertical="center" wrapText="1"/>
    </xf>
    <xf numFmtId="165" fontId="35" fillId="40" borderId="0" xfId="1" applyFont="1" applyFill="1" applyBorder="1" applyAlignment="1">
      <alignment vertical="center" wrapText="1"/>
    </xf>
    <xf numFmtId="165" fontId="36" fillId="40" borderId="0" xfId="1" applyFont="1" applyFill="1" applyBorder="1" applyAlignment="1">
      <alignment vertical="center" wrapText="1"/>
    </xf>
    <xf numFmtId="165" fontId="35" fillId="40" borderId="0" xfId="1" applyFont="1" applyFill="1" applyAlignment="1">
      <alignment vertical="center" wrapText="1"/>
    </xf>
    <xf numFmtId="1" fontId="36" fillId="0" borderId="0" xfId="1" applyNumberFormat="1" applyFont="1" applyAlignment="1">
      <alignment horizontal="center" vertical="center" wrapText="1"/>
    </xf>
    <xf numFmtId="10" fontId="35" fillId="0" borderId="0" xfId="2" applyNumberFormat="1" applyFont="1" applyAlignment="1">
      <alignment horizontal="center" vertical="center" wrapText="1"/>
    </xf>
    <xf numFmtId="10" fontId="35" fillId="0" borderId="0" xfId="2" applyNumberFormat="1" applyFont="1" applyAlignment="1">
      <alignment vertical="center" wrapText="1"/>
    </xf>
    <xf numFmtId="170" fontId="35" fillId="0" borderId="0" xfId="1" applyNumberFormat="1" applyFont="1" applyAlignment="1">
      <alignment vertical="center" wrapText="1"/>
    </xf>
    <xf numFmtId="165" fontId="35" fillId="0" borderId="0" xfId="1" applyFont="1" applyFill="1" applyAlignment="1">
      <alignment vertical="center" wrapText="1"/>
    </xf>
    <xf numFmtId="0" fontId="16" fillId="59" borderId="37" xfId="0" applyFont="1" applyFill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165" fontId="16" fillId="0" borderId="62" xfId="0" applyNumberFormat="1" applyFont="1" applyBorder="1" applyAlignment="1">
      <alignment vertical="center" wrapText="1"/>
    </xf>
    <xf numFmtId="165" fontId="16" fillId="0" borderId="61" xfId="0" applyNumberFormat="1" applyFont="1" applyBorder="1" applyAlignment="1">
      <alignment vertical="center" wrapText="1"/>
    </xf>
    <xf numFmtId="165" fontId="0" fillId="0" borderId="62" xfId="0" applyNumberFormat="1" applyBorder="1" applyAlignment="1">
      <alignment vertical="center" wrapText="1"/>
    </xf>
    <xf numFmtId="165" fontId="0" fillId="0" borderId="70" xfId="0" applyNumberFormat="1" applyBorder="1" applyAlignment="1">
      <alignment vertical="center" wrapText="1"/>
    </xf>
    <xf numFmtId="0" fontId="0" fillId="0" borderId="64" xfId="0" applyBorder="1" applyAlignment="1">
      <alignment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169" fontId="0" fillId="0" borderId="37" xfId="0" applyNumberFormat="1" applyBorder="1" applyAlignment="1">
      <alignment horizontal="center" vertical="center" wrapText="1"/>
    </xf>
    <xf numFmtId="0" fontId="13" fillId="36" borderId="37" xfId="0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/>
    </xf>
    <xf numFmtId="0" fontId="59" fillId="0" borderId="0" xfId="0" applyFont="1"/>
    <xf numFmtId="10" fontId="59" fillId="0" borderId="0" xfId="0" applyNumberFormat="1" applyFont="1"/>
    <xf numFmtId="164" fontId="59" fillId="0" borderId="0" xfId="0" applyNumberFormat="1" applyFont="1"/>
    <xf numFmtId="0" fontId="60" fillId="65" borderId="37" xfId="0" applyFont="1" applyFill="1" applyBorder="1" applyAlignment="1">
      <alignment horizontal="center"/>
    </xf>
    <xf numFmtId="0" fontId="61" fillId="65" borderId="37" xfId="0" applyFont="1" applyFill="1" applyBorder="1" applyAlignment="1">
      <alignment horizontal="center"/>
    </xf>
    <xf numFmtId="0" fontId="59" fillId="0" borderId="37" xfId="0" applyFont="1" applyBorder="1" applyAlignment="1">
      <alignment horizontal="center"/>
    </xf>
    <xf numFmtId="0" fontId="59" fillId="0" borderId="37" xfId="0" applyFont="1" applyBorder="1" applyAlignment="1">
      <alignment wrapText="1"/>
    </xf>
    <xf numFmtId="0" fontId="59" fillId="0" borderId="37" xfId="0" applyFont="1" applyBorder="1"/>
    <xf numFmtId="164" fontId="59" fillId="0" borderId="37" xfId="44" applyFont="1" applyBorder="1"/>
    <xf numFmtId="10" fontId="59" fillId="0" borderId="37" xfId="0" applyNumberFormat="1" applyFont="1" applyBorder="1"/>
    <xf numFmtId="168" fontId="59" fillId="37" borderId="37" xfId="0" applyNumberFormat="1" applyFont="1" applyFill="1" applyBorder="1" applyAlignment="1">
      <alignment vertical="center"/>
    </xf>
    <xf numFmtId="10" fontId="59" fillId="0" borderId="37" xfId="2" applyNumberFormat="1" applyFont="1" applyBorder="1"/>
    <xf numFmtId="164" fontId="59" fillId="0" borderId="37" xfId="0" applyNumberFormat="1" applyFont="1" applyBorder="1"/>
    <xf numFmtId="0" fontId="60" fillId="65" borderId="37" xfId="0" applyFont="1" applyFill="1" applyBorder="1"/>
    <xf numFmtId="10" fontId="60" fillId="65" borderId="37" xfId="2" applyNumberFormat="1" applyFont="1" applyFill="1" applyBorder="1"/>
    <xf numFmtId="164" fontId="60" fillId="65" borderId="37" xfId="44" applyFont="1" applyFill="1" applyBorder="1"/>
    <xf numFmtId="9" fontId="59" fillId="0" borderId="37" xfId="0" applyNumberFormat="1" applyFont="1" applyBorder="1"/>
    <xf numFmtId="165" fontId="59" fillId="0" borderId="37" xfId="1" applyFont="1" applyBorder="1"/>
    <xf numFmtId="169" fontId="59" fillId="0" borderId="37" xfId="44" applyNumberFormat="1" applyFont="1" applyBorder="1"/>
    <xf numFmtId="0" fontId="13" fillId="65" borderId="37" xfId="0" applyFont="1" applyFill="1" applyBorder="1" applyAlignment="1">
      <alignment horizontal="center" vertical="center" wrapText="1"/>
    </xf>
    <xf numFmtId="2" fontId="13" fillId="65" borderId="37" xfId="0" applyNumberFormat="1" applyFont="1" applyFill="1" applyBorder="1" applyAlignment="1">
      <alignment horizontal="center" vertical="center" wrapText="1"/>
    </xf>
    <xf numFmtId="0" fontId="21" fillId="0" borderId="37" xfId="0" applyFont="1" applyBorder="1" applyAlignment="1">
      <alignment vertical="center" wrapText="1"/>
    </xf>
    <xf numFmtId="0" fontId="21" fillId="0" borderId="37" xfId="0" applyFont="1" applyBorder="1" applyAlignment="1">
      <alignment horizontal="center" vertical="center" wrapText="1"/>
    </xf>
    <xf numFmtId="0" fontId="24" fillId="0" borderId="37" xfId="0" applyFont="1" applyBorder="1" applyAlignment="1">
      <alignment vertical="center" wrapText="1"/>
    </xf>
    <xf numFmtId="2" fontId="0" fillId="0" borderId="37" xfId="0" applyNumberFormat="1" applyBorder="1" applyAlignment="1">
      <alignment horizontal="center" vertical="center" wrapText="1"/>
    </xf>
    <xf numFmtId="0" fontId="45" fillId="65" borderId="37" xfId="0" applyFont="1" applyFill="1" applyBorder="1" applyAlignment="1">
      <alignment horizontal="center" wrapText="1"/>
    </xf>
    <xf numFmtId="0" fontId="51" fillId="0" borderId="0" xfId="0" applyFont="1" applyAlignment="1">
      <alignment wrapText="1"/>
    </xf>
    <xf numFmtId="0" fontId="40" fillId="0" borderId="37" xfId="0" applyFont="1" applyBorder="1" applyAlignment="1">
      <alignment vertical="center" wrapText="1"/>
    </xf>
    <xf numFmtId="0" fontId="51" fillId="0" borderId="37" xfId="0" applyFont="1" applyBorder="1" applyAlignment="1">
      <alignment horizontal="center" vertical="center" wrapText="1"/>
    </xf>
    <xf numFmtId="0" fontId="51" fillId="0" borderId="37" xfId="0" applyFont="1" applyBorder="1" applyAlignment="1">
      <alignment vertical="center" wrapText="1"/>
    </xf>
    <xf numFmtId="9" fontId="51" fillId="0" borderId="37" xfId="0" applyNumberFormat="1" applyFont="1" applyBorder="1" applyAlignment="1">
      <alignment horizontal="center" vertical="center" wrapText="1"/>
    </xf>
    <xf numFmtId="169" fontId="0" fillId="0" borderId="0" xfId="44" applyNumberFormat="1" applyFont="1" applyAlignment="1">
      <alignment vertical="center"/>
    </xf>
    <xf numFmtId="0" fontId="13" fillId="65" borderId="37" xfId="0" applyFont="1" applyFill="1" applyBorder="1" applyAlignment="1">
      <alignment horizontal="center" vertical="center"/>
    </xf>
    <xf numFmtId="164" fontId="0" fillId="0" borderId="37" xfId="44" applyFont="1" applyBorder="1" applyAlignment="1">
      <alignment vertical="center"/>
    </xf>
    <xf numFmtId="2" fontId="16" fillId="0" borderId="37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vertical="center"/>
    </xf>
    <xf numFmtId="2" fontId="0" fillId="0" borderId="37" xfId="1" applyNumberFormat="1" applyFont="1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0" fontId="17" fillId="65" borderId="37" xfId="0" applyFont="1" applyFill="1" applyBorder="1" applyAlignment="1">
      <alignment horizontal="center" vertical="center"/>
    </xf>
    <xf numFmtId="0" fontId="0" fillId="33" borderId="37" xfId="0" applyFill="1" applyBorder="1" applyAlignment="1">
      <alignment horizontal="center" vertical="center"/>
    </xf>
    <xf numFmtId="0" fontId="0" fillId="33" borderId="37" xfId="0" applyFill="1" applyBorder="1" applyAlignment="1">
      <alignment vertical="center"/>
    </xf>
    <xf numFmtId="0" fontId="16" fillId="33" borderId="37" xfId="0" applyFont="1" applyFill="1" applyBorder="1" applyAlignment="1">
      <alignment horizontal="center" vertical="center"/>
    </xf>
    <xf numFmtId="169" fontId="0" fillId="33" borderId="37" xfId="44" applyNumberFormat="1" applyFont="1" applyFill="1" applyBorder="1" applyAlignment="1">
      <alignment vertical="center"/>
    </xf>
    <xf numFmtId="0" fontId="20" fillId="65" borderId="37" xfId="0" applyFont="1" applyFill="1" applyBorder="1" applyAlignment="1">
      <alignment vertical="center"/>
    </xf>
    <xf numFmtId="0" fontId="20" fillId="65" borderId="37" xfId="0" applyFont="1" applyFill="1" applyBorder="1" applyAlignment="1">
      <alignment horizontal="center" vertical="center"/>
    </xf>
    <xf numFmtId="0" fontId="30" fillId="0" borderId="37" xfId="0" applyFont="1" applyBorder="1" applyAlignment="1">
      <alignment vertical="center"/>
    </xf>
    <xf numFmtId="0" fontId="19" fillId="0" borderId="37" xfId="0" applyFont="1" applyBorder="1" applyAlignment="1">
      <alignment vertical="center"/>
    </xf>
    <xf numFmtId="10" fontId="19" fillId="0" borderId="37" xfId="0" applyNumberFormat="1" applyFont="1" applyBorder="1" applyAlignment="1">
      <alignment vertical="center"/>
    </xf>
    <xf numFmtId="171" fontId="30" fillId="0" borderId="37" xfId="44" applyNumberFormat="1" applyFont="1" applyBorder="1" applyAlignment="1">
      <alignment vertical="center"/>
    </xf>
    <xf numFmtId="2" fontId="30" fillId="0" borderId="37" xfId="0" applyNumberFormat="1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/>
    </xf>
    <xf numFmtId="0" fontId="24" fillId="0" borderId="37" xfId="0" applyFont="1" applyBorder="1"/>
    <xf numFmtId="164" fontId="24" fillId="0" borderId="37" xfId="44" applyFont="1" applyBorder="1"/>
    <xf numFmtId="0" fontId="24" fillId="0" borderId="37" xfId="0" applyFont="1" applyBorder="1" applyAlignment="1">
      <alignment horizontal="left"/>
    </xf>
    <xf numFmtId="9" fontId="24" fillId="0" borderId="37" xfId="0" applyNumberFormat="1" applyFont="1" applyBorder="1" applyAlignment="1">
      <alignment horizontal="center"/>
    </xf>
    <xf numFmtId="169" fontId="24" fillId="0" borderId="37" xfId="0" applyNumberFormat="1" applyFont="1" applyBorder="1"/>
    <xf numFmtId="169" fontId="24" fillId="0" borderId="37" xfId="44" applyNumberFormat="1" applyFont="1" applyBorder="1"/>
    <xf numFmtId="10" fontId="24" fillId="0" borderId="37" xfId="0" applyNumberFormat="1" applyFont="1" applyBorder="1" applyAlignment="1">
      <alignment horizontal="center"/>
    </xf>
    <xf numFmtId="165" fontId="24" fillId="0" borderId="37" xfId="1" applyFont="1" applyBorder="1"/>
    <xf numFmtId="165" fontId="24" fillId="0" borderId="37" xfId="1" applyFont="1" applyBorder="1" applyAlignment="1">
      <alignment horizontal="right"/>
    </xf>
    <xf numFmtId="165" fontId="24" fillId="0" borderId="37" xfId="0" applyNumberFormat="1" applyFont="1" applyBorder="1" applyAlignment="1">
      <alignment horizontal="center"/>
    </xf>
    <xf numFmtId="0" fontId="24" fillId="0" borderId="37" xfId="0" applyFont="1" applyBorder="1" applyAlignment="1">
      <alignment horizontal="right"/>
    </xf>
    <xf numFmtId="0" fontId="13" fillId="65" borderId="37" xfId="0" applyFont="1" applyFill="1" applyBorder="1" applyAlignment="1">
      <alignment horizontal="center"/>
    </xf>
    <xf numFmtId="0" fontId="13" fillId="65" borderId="37" xfId="0" applyFont="1" applyFill="1" applyBorder="1"/>
    <xf numFmtId="1" fontId="13" fillId="64" borderId="10" xfId="0" applyNumberFormat="1" applyFont="1" applyFill="1" applyBorder="1" applyAlignment="1">
      <alignment horizontal="center" vertical="center"/>
    </xf>
    <xf numFmtId="165" fontId="13" fillId="64" borderId="37" xfId="1" applyFont="1" applyFill="1" applyBorder="1" applyAlignment="1">
      <alignment horizontal="center" vertical="center"/>
    </xf>
    <xf numFmtId="1" fontId="13" fillId="64" borderId="37" xfId="0" applyNumberFormat="1" applyFont="1" applyFill="1" applyBorder="1" applyAlignment="1">
      <alignment horizontal="center" vertical="center"/>
    </xf>
    <xf numFmtId="2" fontId="13" fillId="64" borderId="37" xfId="0" applyNumberFormat="1" applyFont="1" applyFill="1" applyBorder="1" applyAlignment="1">
      <alignment horizontal="center" vertical="center"/>
    </xf>
    <xf numFmtId="165" fontId="18" fillId="0" borderId="37" xfId="1" applyFont="1" applyFill="1" applyBorder="1" applyAlignment="1">
      <alignment horizontal="center" vertical="center"/>
    </xf>
    <xf numFmtId="1" fontId="18" fillId="0" borderId="37" xfId="0" applyNumberFormat="1" applyFont="1" applyBorder="1" applyAlignment="1">
      <alignment horizontal="center" vertical="center"/>
    </xf>
    <xf numFmtId="2" fontId="18" fillId="0" borderId="37" xfId="0" applyNumberFormat="1" applyFont="1" applyBorder="1" applyAlignment="1">
      <alignment horizontal="center" vertical="center"/>
    </xf>
    <xf numFmtId="1" fontId="0" fillId="0" borderId="37" xfId="0" applyNumberFormat="1" applyBorder="1" applyAlignment="1">
      <alignment horizontal="center" vertical="center"/>
    </xf>
    <xf numFmtId="49" fontId="0" fillId="0" borderId="37" xfId="0" applyNumberFormat="1" applyBorder="1" applyAlignment="1">
      <alignment horizontal="center" vertical="center"/>
    </xf>
    <xf numFmtId="1" fontId="16" fillId="0" borderId="37" xfId="0" applyNumberFormat="1" applyFont="1" applyBorder="1" applyAlignment="1">
      <alignment horizontal="center" vertical="center"/>
    </xf>
    <xf numFmtId="165" fontId="63" fillId="64" borderId="37" xfId="1" applyFont="1" applyFill="1" applyBorder="1" applyAlignment="1">
      <alignment horizontal="center" vertical="center"/>
    </xf>
    <xf numFmtId="0" fontId="13" fillId="64" borderId="37" xfId="0" applyFont="1" applyFill="1" applyBorder="1" applyAlignment="1">
      <alignment horizontal="center" vertical="center"/>
    </xf>
    <xf numFmtId="10" fontId="13" fillId="64" borderId="37" xfId="2" applyNumberFormat="1" applyFont="1" applyFill="1" applyBorder="1" applyAlignment="1">
      <alignment horizontal="center" vertical="center"/>
    </xf>
    <xf numFmtId="166" fontId="13" fillId="64" borderId="37" xfId="2" applyNumberFormat="1" applyFont="1" applyFill="1" applyBorder="1" applyAlignment="1">
      <alignment horizontal="center" vertical="center"/>
    </xf>
    <xf numFmtId="167" fontId="18" fillId="0" borderId="37" xfId="1" applyNumberFormat="1" applyFont="1" applyFill="1" applyBorder="1" applyAlignment="1">
      <alignment horizontal="center" vertical="center"/>
    </xf>
    <xf numFmtId="165" fontId="21" fillId="33" borderId="37" xfId="1" applyFont="1" applyFill="1" applyBorder="1" applyAlignment="1">
      <alignment horizontal="center" vertical="center"/>
    </xf>
    <xf numFmtId="9" fontId="18" fillId="0" borderId="37" xfId="2" applyFont="1" applyFill="1" applyBorder="1" applyAlignment="1">
      <alignment horizontal="center" vertical="center"/>
    </xf>
    <xf numFmtId="10" fontId="18" fillId="0" borderId="37" xfId="2" applyNumberFormat="1" applyFont="1" applyFill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166" fontId="18" fillId="0" borderId="37" xfId="2" applyNumberFormat="1" applyFont="1" applyFill="1" applyBorder="1" applyAlignment="1">
      <alignment horizontal="center" vertical="center"/>
    </xf>
    <xf numFmtId="165" fontId="18" fillId="0" borderId="37" xfId="1" applyFont="1" applyBorder="1" applyAlignment="1">
      <alignment horizontal="center" vertical="center"/>
    </xf>
    <xf numFmtId="167" fontId="0" fillId="0" borderId="37" xfId="1" applyNumberFormat="1" applyFont="1" applyBorder="1" applyAlignment="1">
      <alignment horizontal="center" vertical="center"/>
    </xf>
    <xf numFmtId="165" fontId="0" fillId="0" borderId="37" xfId="2" applyNumberFormat="1" applyFont="1" applyBorder="1" applyAlignment="1">
      <alignment horizontal="center" vertical="center"/>
    </xf>
    <xf numFmtId="165" fontId="0" fillId="37" borderId="37" xfId="1" applyFont="1" applyFill="1" applyBorder="1" applyAlignment="1">
      <alignment horizontal="center" vertical="center"/>
    </xf>
    <xf numFmtId="165" fontId="0" fillId="33" borderId="37" xfId="1" applyFont="1" applyFill="1" applyBorder="1" applyAlignment="1">
      <alignment horizontal="center" vertical="center"/>
    </xf>
    <xf numFmtId="0" fontId="51" fillId="0" borderId="37" xfId="0" applyFont="1" applyBorder="1" applyAlignment="1">
      <alignment horizontal="center" vertical="center"/>
    </xf>
    <xf numFmtId="0" fontId="51" fillId="0" borderId="37" xfId="0" applyFont="1" applyBorder="1" applyAlignment="1">
      <alignment vertical="center"/>
    </xf>
    <xf numFmtId="177" fontId="40" fillId="0" borderId="37" xfId="0" applyNumberFormat="1" applyFont="1" applyBorder="1" applyAlignment="1">
      <alignment horizontal="center" vertical="center"/>
    </xf>
    <xf numFmtId="177" fontId="51" fillId="0" borderId="37" xfId="0" applyNumberFormat="1" applyFont="1" applyBorder="1" applyAlignment="1">
      <alignment vertical="center"/>
    </xf>
    <xf numFmtId="177" fontId="40" fillId="0" borderId="37" xfId="0" applyNumberFormat="1" applyFont="1" applyBorder="1" applyAlignment="1">
      <alignment vertical="center"/>
    </xf>
    <xf numFmtId="177" fontId="51" fillId="0" borderId="37" xfId="0" applyNumberFormat="1" applyFont="1" applyBorder="1" applyAlignment="1">
      <alignment horizontal="center" vertical="center"/>
    </xf>
    <xf numFmtId="0" fontId="51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165" fontId="17" fillId="0" borderId="37" xfId="1" applyFont="1" applyFill="1" applyBorder="1"/>
    <xf numFmtId="0" fontId="36" fillId="0" borderId="37" xfId="0" applyFon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/>
    </xf>
    <xf numFmtId="165" fontId="35" fillId="0" borderId="37" xfId="1" applyFont="1" applyBorder="1" applyAlignment="1">
      <alignment horizontal="center" vertical="center"/>
    </xf>
    <xf numFmtId="165" fontId="35" fillId="0" borderId="37" xfId="1" applyFont="1" applyBorder="1" applyAlignment="1">
      <alignment horizontal="center"/>
    </xf>
    <xf numFmtId="165" fontId="16" fillId="0" borderId="37" xfId="1" applyFont="1" applyBorder="1"/>
    <xf numFmtId="165" fontId="16" fillId="0" borderId="37" xfId="1" applyFont="1" applyFill="1" applyBorder="1"/>
    <xf numFmtId="9" fontId="16" fillId="0" borderId="37" xfId="0" applyNumberFormat="1" applyFont="1" applyBorder="1"/>
    <xf numFmtId="166" fontId="0" fillId="0" borderId="37" xfId="2" applyNumberFormat="1" applyFont="1" applyBorder="1" applyAlignment="1"/>
    <xf numFmtId="166" fontId="0" fillId="0" borderId="37" xfId="2" applyNumberFormat="1" applyFont="1" applyBorder="1" applyAlignment="1">
      <alignment horizontal="center"/>
    </xf>
    <xf numFmtId="1" fontId="13" fillId="64" borderId="13" xfId="0" applyNumberFormat="1" applyFont="1" applyFill="1" applyBorder="1" applyAlignment="1">
      <alignment horizontal="center" vertical="center"/>
    </xf>
    <xf numFmtId="1" fontId="13" fillId="64" borderId="12" xfId="0" applyNumberFormat="1" applyFont="1" applyFill="1" applyBorder="1" applyAlignment="1">
      <alignment horizontal="center" vertical="center"/>
    </xf>
    <xf numFmtId="0" fontId="44" fillId="36" borderId="37" xfId="0" applyFont="1" applyFill="1" applyBorder="1" applyAlignment="1">
      <alignment horizontal="center" vertical="center" wrapText="1"/>
    </xf>
    <xf numFmtId="164" fontId="44" fillId="36" borderId="37" xfId="44" applyFont="1" applyFill="1" applyBorder="1" applyAlignment="1">
      <alignment horizontal="center" vertical="center" wrapText="1"/>
    </xf>
    <xf numFmtId="165" fontId="46" fillId="36" borderId="15" xfId="1" applyFont="1" applyFill="1" applyBorder="1" applyAlignment="1">
      <alignment horizontal="centerContinuous" vertical="center"/>
    </xf>
    <xf numFmtId="0" fontId="13" fillId="36" borderId="15" xfId="0" applyFont="1" applyFill="1" applyBorder="1" applyAlignment="1">
      <alignment horizontal="centerContinuous"/>
    </xf>
    <xf numFmtId="0" fontId="17" fillId="36" borderId="15" xfId="0" applyFont="1" applyFill="1" applyBorder="1" applyAlignment="1">
      <alignment horizontal="centerContinuous"/>
    </xf>
    <xf numFmtId="165" fontId="13" fillId="36" borderId="15" xfId="1" applyFont="1" applyFill="1" applyBorder="1" applyAlignment="1">
      <alignment horizontal="centerContinuous" vertical="center"/>
    </xf>
    <xf numFmtId="169" fontId="13" fillId="36" borderId="15" xfId="44" applyNumberFormat="1" applyFont="1" applyFill="1" applyBorder="1" applyAlignment="1">
      <alignment horizontal="centerContinuous" vertical="center"/>
    </xf>
    <xf numFmtId="169" fontId="13" fillId="36" borderId="15" xfId="44" applyNumberFormat="1" applyFont="1" applyFill="1" applyBorder="1" applyAlignment="1">
      <alignment horizontal="center" vertical="center" wrapText="1"/>
    </xf>
    <xf numFmtId="1" fontId="13" fillId="36" borderId="37" xfId="0" applyNumberFormat="1" applyFont="1" applyFill="1" applyBorder="1" applyAlignment="1">
      <alignment horizontal="center" vertical="center"/>
    </xf>
    <xf numFmtId="165" fontId="13" fillId="36" borderId="37" xfId="1" applyFont="1" applyFill="1" applyBorder="1" applyAlignment="1">
      <alignment horizontal="center" vertical="center"/>
    </xf>
    <xf numFmtId="167" fontId="13" fillId="36" borderId="37" xfId="1" applyNumberFormat="1" applyFont="1" applyFill="1" applyBorder="1" applyAlignment="1">
      <alignment horizontal="center" vertical="center"/>
    </xf>
    <xf numFmtId="9" fontId="13" fillId="36" borderId="37" xfId="2" applyFont="1" applyFill="1" applyBorder="1" applyAlignment="1">
      <alignment horizontal="center" vertical="center"/>
    </xf>
    <xf numFmtId="10" fontId="13" fillId="36" borderId="37" xfId="2" applyNumberFormat="1" applyFont="1" applyFill="1" applyBorder="1" applyAlignment="1">
      <alignment horizontal="center" vertical="center"/>
    </xf>
    <xf numFmtId="0" fontId="45" fillId="36" borderId="37" xfId="0" applyFont="1" applyFill="1" applyBorder="1" applyAlignment="1">
      <alignment horizontal="center" vertical="center"/>
    </xf>
    <xf numFmtId="0" fontId="13" fillId="36" borderId="37" xfId="0" applyFont="1" applyFill="1" applyBorder="1" applyAlignment="1">
      <alignment horizontal="center" vertical="center"/>
    </xf>
    <xf numFmtId="1" fontId="13" fillId="36" borderId="37" xfId="1" applyNumberFormat="1" applyFont="1" applyFill="1" applyBorder="1" applyAlignment="1">
      <alignment horizontal="center"/>
    </xf>
    <xf numFmtId="165" fontId="28" fillId="0" borderId="37" xfId="1" applyFont="1" applyFill="1" applyBorder="1" applyAlignment="1">
      <alignment horizontal="centerContinuous" vertical="center"/>
    </xf>
    <xf numFmtId="10" fontId="39" fillId="0" borderId="37" xfId="2" applyNumberFormat="1" applyFont="1" applyFill="1" applyBorder="1" applyAlignment="1">
      <alignment horizontal="centerContinuous" vertical="center"/>
    </xf>
    <xf numFmtId="165" fontId="13" fillId="45" borderId="37" xfId="1" applyFont="1" applyFill="1" applyBorder="1" applyAlignment="1">
      <alignment horizontal="centerContinuous" vertical="center"/>
    </xf>
    <xf numFmtId="10" fontId="26" fillId="0" borderId="37" xfId="2" applyNumberFormat="1" applyFont="1" applyBorder="1" applyAlignment="1">
      <alignment vertical="center"/>
    </xf>
    <xf numFmtId="0" fontId="25" fillId="0" borderId="37" xfId="0" applyFont="1" applyBorder="1" applyAlignment="1">
      <alignment vertical="center"/>
    </xf>
    <xf numFmtId="9" fontId="13" fillId="45" borderId="37" xfId="2" applyFont="1" applyFill="1" applyBorder="1" applyAlignment="1">
      <alignment horizontal="center" vertical="center"/>
    </xf>
    <xf numFmtId="165" fontId="13" fillId="41" borderId="37" xfId="1" applyFont="1" applyFill="1" applyBorder="1" applyAlignment="1">
      <alignment horizontal="center" vertical="center"/>
    </xf>
    <xf numFmtId="165" fontId="13" fillId="45" borderId="37" xfId="1" applyFont="1" applyFill="1" applyBorder="1" applyAlignment="1">
      <alignment vertical="center"/>
    </xf>
    <xf numFmtId="165" fontId="13" fillId="45" borderId="37" xfId="1" applyFont="1" applyFill="1" applyBorder="1" applyAlignment="1">
      <alignment horizontal="center" vertical="center" wrapText="1"/>
    </xf>
    <xf numFmtId="9" fontId="16" fillId="0" borderId="37" xfId="2" applyFont="1" applyBorder="1" applyAlignment="1">
      <alignment horizontal="center" vertical="center"/>
    </xf>
    <xf numFmtId="165" fontId="21" fillId="0" borderId="37" xfId="0" applyNumberFormat="1" applyFont="1" applyBorder="1" applyAlignment="1">
      <alignment horizontal="right" vertical="center" wrapText="1"/>
    </xf>
    <xf numFmtId="10" fontId="33" fillId="0" borderId="37" xfId="2" applyNumberFormat="1" applyFont="1" applyFill="1" applyBorder="1" applyAlignment="1">
      <alignment horizontal="center" vertical="center"/>
    </xf>
    <xf numFmtId="9" fontId="16" fillId="0" borderId="37" xfId="2" applyFont="1" applyFill="1" applyBorder="1" applyAlignment="1">
      <alignment horizontal="center" vertical="center"/>
    </xf>
    <xf numFmtId="165" fontId="16" fillId="0" borderId="37" xfId="1" applyFont="1" applyFill="1" applyBorder="1" applyAlignment="1">
      <alignment horizontal="center" vertical="center"/>
    </xf>
    <xf numFmtId="10" fontId="16" fillId="0" borderId="37" xfId="2" applyNumberFormat="1" applyFont="1" applyFill="1" applyBorder="1" applyAlignment="1">
      <alignment horizontal="center" vertical="center"/>
    </xf>
    <xf numFmtId="10" fontId="21" fillId="0" borderId="37" xfId="2" applyNumberFormat="1" applyFont="1" applyBorder="1" applyAlignment="1">
      <alignment horizontal="center" vertical="center"/>
    </xf>
    <xf numFmtId="173" fontId="23" fillId="0" borderId="37" xfId="2" applyNumberFormat="1" applyFont="1" applyBorder="1" applyAlignment="1">
      <alignment horizontal="center" vertical="center"/>
    </xf>
    <xf numFmtId="10" fontId="16" fillId="33" borderId="37" xfId="2" applyNumberFormat="1" applyFont="1" applyFill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9" fontId="23" fillId="0" borderId="37" xfId="2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 wrapText="1"/>
    </xf>
    <xf numFmtId="165" fontId="23" fillId="0" borderId="37" xfId="1" applyFont="1" applyFill="1" applyBorder="1" applyAlignment="1">
      <alignment horizontal="center" vertical="center"/>
    </xf>
    <xf numFmtId="0" fontId="26" fillId="0" borderId="37" xfId="0" applyFont="1" applyBorder="1" applyAlignment="1">
      <alignment horizontal="center" vertical="center"/>
    </xf>
    <xf numFmtId="10" fontId="23" fillId="0" borderId="37" xfId="2" applyNumberFormat="1" applyFont="1" applyBorder="1" applyAlignment="1">
      <alignment horizontal="center" vertical="center"/>
    </xf>
    <xf numFmtId="9" fontId="18" fillId="0" borderId="37" xfId="0" applyNumberFormat="1" applyFont="1" applyBorder="1" applyAlignment="1">
      <alignment horizontal="center" vertical="center"/>
    </xf>
    <xf numFmtId="165" fontId="18" fillId="0" borderId="37" xfId="1" applyFont="1" applyFill="1" applyBorder="1" applyAlignment="1">
      <alignment horizontal="center" vertical="center" wrapText="1"/>
    </xf>
    <xf numFmtId="165" fontId="18" fillId="0" borderId="37" xfId="0" applyNumberFormat="1" applyFont="1" applyBorder="1" applyAlignment="1">
      <alignment horizontal="center" vertical="center"/>
    </xf>
    <xf numFmtId="175" fontId="18" fillId="0" borderId="37" xfId="1" applyNumberFormat="1" applyFont="1" applyBorder="1" applyAlignment="1">
      <alignment horizontal="center" vertical="center"/>
    </xf>
    <xf numFmtId="9" fontId="18" fillId="0" borderId="37" xfId="2" applyFont="1" applyBorder="1" applyAlignment="1">
      <alignment horizontal="center" vertical="center"/>
    </xf>
    <xf numFmtId="9" fontId="18" fillId="0" borderId="37" xfId="0" applyNumberFormat="1" applyFont="1" applyBorder="1" applyAlignment="1">
      <alignment horizontal="center" vertical="center" wrapText="1"/>
    </xf>
    <xf numFmtId="165" fontId="24" fillId="0" borderId="37" xfId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9" fontId="0" fillId="0" borderId="37" xfId="2" applyFont="1" applyBorder="1" applyAlignment="1">
      <alignment horizontal="center" vertical="center"/>
    </xf>
    <xf numFmtId="165" fontId="0" fillId="33" borderId="37" xfId="0" applyNumberFormat="1" applyFill="1" applyBorder="1" applyAlignment="1">
      <alignment horizontal="center" vertical="center"/>
    </xf>
    <xf numFmtId="165" fontId="1" fillId="0" borderId="37" xfId="1" applyFont="1" applyBorder="1" applyAlignment="1">
      <alignment horizontal="center" vertical="center"/>
    </xf>
    <xf numFmtId="174" fontId="0" fillId="0" borderId="37" xfId="0" applyNumberFormat="1" applyBorder="1" applyAlignment="1">
      <alignment horizontal="center" vertical="center"/>
    </xf>
    <xf numFmtId="165" fontId="0" fillId="34" borderId="37" xfId="0" applyNumberFormat="1" applyFill="1" applyBorder="1" applyAlignment="1">
      <alignment horizontal="center" vertical="center"/>
    </xf>
    <xf numFmtId="165" fontId="0" fillId="37" borderId="37" xfId="0" applyNumberFormat="1" applyFill="1" applyBorder="1" applyAlignment="1">
      <alignment horizontal="center" vertical="center"/>
    </xf>
    <xf numFmtId="165" fontId="0" fillId="42" borderId="37" xfId="0" applyNumberFormat="1" applyFill="1" applyBorder="1" applyAlignment="1">
      <alignment horizontal="center" vertical="center"/>
    </xf>
    <xf numFmtId="173" fontId="14" fillId="0" borderId="0" xfId="2" applyNumberFormat="1" applyFont="1" applyAlignment="1">
      <alignment vertical="center"/>
    </xf>
    <xf numFmtId="0" fontId="17" fillId="45" borderId="37" xfId="0" applyFont="1" applyFill="1" applyBorder="1" applyAlignment="1">
      <alignment vertical="center"/>
    </xf>
    <xf numFmtId="10" fontId="0" fillId="0" borderId="37" xfId="2" applyNumberFormat="1" applyFont="1" applyBorder="1" applyAlignment="1">
      <alignment vertical="center"/>
    </xf>
    <xf numFmtId="173" fontId="14" fillId="0" borderId="37" xfId="2" applyNumberFormat="1" applyFont="1" applyBorder="1" applyAlignment="1">
      <alignment vertical="center"/>
    </xf>
    <xf numFmtId="9" fontId="0" fillId="0" borderId="37" xfId="2" applyFont="1" applyBorder="1" applyAlignment="1">
      <alignment vertical="center"/>
    </xf>
    <xf numFmtId="176" fontId="0" fillId="0" borderId="37" xfId="0" applyNumberFormat="1" applyBorder="1" applyAlignment="1">
      <alignment vertical="center"/>
    </xf>
    <xf numFmtId="10" fontId="0" fillId="0" borderId="37" xfId="0" applyNumberFormat="1" applyBorder="1" applyAlignment="1">
      <alignment vertical="center"/>
    </xf>
    <xf numFmtId="165" fontId="0" fillId="0" borderId="37" xfId="2" applyNumberFormat="1" applyFont="1" applyBorder="1" applyAlignment="1">
      <alignment vertical="center"/>
    </xf>
    <xf numFmtId="0" fontId="13" fillId="36" borderId="10" xfId="0" applyFont="1" applyFill="1" applyBorder="1" applyAlignment="1">
      <alignment vertical="center"/>
    </xf>
    <xf numFmtId="0" fontId="13" fillId="36" borderId="10" xfId="0" applyFont="1" applyFill="1" applyBorder="1" applyAlignment="1">
      <alignment horizontal="center" vertical="center"/>
    </xf>
    <xf numFmtId="165" fontId="13" fillId="36" borderId="10" xfId="1" applyFont="1" applyFill="1" applyBorder="1" applyAlignment="1">
      <alignment horizontal="center" vertical="center"/>
    </xf>
    <xf numFmtId="10" fontId="13" fillId="36" borderId="10" xfId="2" applyNumberFormat="1" applyFont="1" applyFill="1" applyBorder="1" applyAlignment="1">
      <alignment horizontal="center" vertical="center"/>
    </xf>
    <xf numFmtId="166" fontId="13" fillId="36" borderId="10" xfId="2" applyNumberFormat="1" applyFont="1" applyFill="1" applyBorder="1" applyAlignment="1">
      <alignment horizontal="center" vertical="center"/>
    </xf>
    <xf numFmtId="1" fontId="13" fillId="36" borderId="10" xfId="0" applyNumberFormat="1" applyFont="1" applyFill="1" applyBorder="1" applyAlignment="1">
      <alignment horizontal="center" vertical="center"/>
    </xf>
    <xf numFmtId="0" fontId="17" fillId="36" borderId="37" xfId="0" applyFont="1" applyFill="1" applyBorder="1" applyAlignment="1">
      <alignment vertical="center" wrapText="1"/>
    </xf>
    <xf numFmtId="0" fontId="13" fillId="36" borderId="37" xfId="0" applyFont="1" applyFill="1" applyBorder="1" applyAlignment="1">
      <alignment vertical="center" wrapText="1"/>
    </xf>
    <xf numFmtId="165" fontId="13" fillId="36" borderId="37" xfId="1" applyFont="1" applyFill="1" applyBorder="1" applyAlignment="1">
      <alignment vertical="center" wrapText="1"/>
    </xf>
    <xf numFmtId="10" fontId="13" fillId="36" borderId="37" xfId="2" applyNumberFormat="1" applyFont="1" applyFill="1" applyBorder="1" applyAlignment="1">
      <alignment vertical="center" wrapText="1"/>
    </xf>
    <xf numFmtId="10" fontId="13" fillId="36" borderId="37" xfId="2" applyNumberFormat="1" applyFont="1" applyFill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 wrapText="1"/>
    </xf>
    <xf numFmtId="165" fontId="31" fillId="0" borderId="37" xfId="1" applyFont="1" applyFill="1" applyBorder="1" applyAlignment="1">
      <alignment horizontal="center" vertical="center" wrapText="1"/>
    </xf>
    <xf numFmtId="10" fontId="31" fillId="0" borderId="37" xfId="2" applyNumberFormat="1" applyFont="1" applyFill="1" applyBorder="1" applyAlignment="1">
      <alignment horizontal="center" vertical="center" wrapText="1"/>
    </xf>
    <xf numFmtId="2" fontId="31" fillId="0" borderId="37" xfId="0" applyNumberFormat="1" applyFont="1" applyBorder="1" applyAlignment="1">
      <alignment horizontal="center" vertical="center" wrapText="1"/>
    </xf>
    <xf numFmtId="169" fontId="31" fillId="0" borderId="37" xfId="44" applyNumberFormat="1" applyFont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left" vertical="center" wrapText="1"/>
    </xf>
    <xf numFmtId="165" fontId="16" fillId="0" borderId="37" xfId="1" applyFont="1" applyFill="1" applyBorder="1" applyAlignment="1">
      <alignment vertical="center" wrapText="1"/>
    </xf>
    <xf numFmtId="10" fontId="0" fillId="0" borderId="37" xfId="2" applyNumberFormat="1" applyFont="1" applyFill="1" applyBorder="1" applyAlignment="1">
      <alignment vertical="center" wrapText="1"/>
    </xf>
    <xf numFmtId="169" fontId="0" fillId="0" borderId="37" xfId="44" applyNumberFormat="1" applyFont="1" applyFill="1" applyBorder="1" applyAlignment="1">
      <alignment horizontal="center" vertical="center" wrapText="1"/>
    </xf>
    <xf numFmtId="169" fontId="16" fillId="0" borderId="37" xfId="44" applyNumberFormat="1" applyFont="1" applyFill="1" applyBorder="1" applyAlignment="1">
      <alignment horizontal="center" vertical="center" wrapText="1"/>
    </xf>
    <xf numFmtId="169" fontId="16" fillId="0" borderId="37" xfId="44" applyNumberFormat="1" applyFont="1" applyFill="1" applyBorder="1" applyAlignment="1">
      <alignment vertical="center" wrapText="1"/>
    </xf>
    <xf numFmtId="49" fontId="0" fillId="53" borderId="37" xfId="0" applyNumberFormat="1" applyFill="1" applyBorder="1" applyAlignment="1">
      <alignment horizontal="center" vertical="center" wrapText="1"/>
    </xf>
    <xf numFmtId="1" fontId="0" fillId="53" borderId="37" xfId="0" applyNumberFormat="1" applyFill="1" applyBorder="1" applyAlignment="1">
      <alignment vertical="center" wrapText="1"/>
    </xf>
    <xf numFmtId="0" fontId="0" fillId="53" borderId="37" xfId="0" applyFill="1" applyBorder="1" applyAlignment="1">
      <alignment horizontal="center" vertical="center" wrapText="1"/>
    </xf>
    <xf numFmtId="165" fontId="0" fillId="53" borderId="37" xfId="1" applyFont="1" applyFill="1" applyBorder="1" applyAlignment="1">
      <alignment vertical="center" wrapText="1"/>
    </xf>
    <xf numFmtId="10" fontId="0" fillId="53" borderId="37" xfId="2" applyNumberFormat="1" applyFont="1" applyFill="1" applyBorder="1" applyAlignment="1">
      <alignment vertical="center" wrapText="1"/>
    </xf>
    <xf numFmtId="165" fontId="0" fillId="53" borderId="37" xfId="0" applyNumberFormat="1" applyFill="1" applyBorder="1" applyAlignment="1">
      <alignment wrapText="1"/>
    </xf>
    <xf numFmtId="0" fontId="0" fillId="53" borderId="37" xfId="0" applyFill="1" applyBorder="1" applyAlignment="1">
      <alignment vertical="center" wrapText="1"/>
    </xf>
    <xf numFmtId="2" fontId="0" fillId="53" borderId="37" xfId="0" applyNumberFormat="1" applyFill="1" applyBorder="1" applyAlignment="1">
      <alignment horizontal="center" vertical="center" wrapText="1"/>
    </xf>
    <xf numFmtId="169" fontId="0" fillId="53" borderId="37" xfId="44" applyNumberFormat="1" applyFont="1" applyFill="1" applyBorder="1" applyAlignment="1">
      <alignment horizontal="center" vertical="center" wrapText="1"/>
    </xf>
    <xf numFmtId="169" fontId="0" fillId="53" borderId="37" xfId="0" applyNumberFormat="1" applyFill="1" applyBorder="1" applyAlignment="1">
      <alignment horizontal="center" vertical="center" wrapText="1"/>
    </xf>
    <xf numFmtId="169" fontId="0" fillId="53" borderId="37" xfId="44" applyNumberFormat="1" applyFont="1" applyFill="1" applyBorder="1" applyAlignment="1">
      <alignment vertical="center" wrapText="1"/>
    </xf>
    <xf numFmtId="49" fontId="0" fillId="0" borderId="37" xfId="0" applyNumberFormat="1" applyBorder="1" applyAlignment="1">
      <alignment horizontal="center" vertical="center" wrapText="1"/>
    </xf>
    <xf numFmtId="1" fontId="0" fillId="0" borderId="37" xfId="0" applyNumberFormat="1" applyBorder="1" applyAlignment="1">
      <alignment vertical="center" wrapText="1"/>
    </xf>
    <xf numFmtId="165" fontId="0" fillId="0" borderId="37" xfId="1" applyFont="1" applyFill="1" applyBorder="1" applyAlignment="1">
      <alignment vertical="center" wrapText="1"/>
    </xf>
    <xf numFmtId="165" fontId="0" fillId="0" borderId="37" xfId="0" applyNumberFormat="1" applyBorder="1" applyAlignment="1">
      <alignment wrapText="1"/>
    </xf>
    <xf numFmtId="164" fontId="45" fillId="36" borderId="15" xfId="44" applyFont="1" applyFill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165" fontId="31" fillId="0" borderId="15" xfId="1" applyFont="1" applyBorder="1" applyAlignment="1">
      <alignment horizontal="center" vertical="center"/>
    </xf>
    <xf numFmtId="164" fontId="31" fillId="0" borderId="15" xfId="44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165" fontId="58" fillId="0" borderId="15" xfId="1" applyFont="1" applyFill="1" applyBorder="1" applyAlignment="1">
      <alignment vertical="center"/>
    </xf>
    <xf numFmtId="164" fontId="58" fillId="0" borderId="15" xfId="44" applyFont="1" applyFill="1" applyBorder="1" applyAlignment="1">
      <alignment vertical="center"/>
    </xf>
    <xf numFmtId="165" fontId="51" fillId="0" borderId="15" xfId="1" applyFont="1" applyBorder="1" applyAlignment="1">
      <alignment vertical="center"/>
    </xf>
    <xf numFmtId="164" fontId="51" fillId="0" borderId="15" xfId="44" applyFont="1" applyBorder="1" applyAlignment="1">
      <alignment vertical="center"/>
    </xf>
    <xf numFmtId="165" fontId="51" fillId="0" borderId="0" xfId="1" applyFont="1" applyAlignment="1">
      <alignment vertical="center"/>
    </xf>
    <xf numFmtId="164" fontId="51" fillId="0" borderId="0" xfId="44" applyFont="1" applyAlignment="1">
      <alignment vertical="center"/>
    </xf>
    <xf numFmtId="165" fontId="51" fillId="0" borderId="0" xfId="1" applyFont="1" applyFill="1" applyBorder="1" applyAlignment="1">
      <alignment vertical="center"/>
    </xf>
    <xf numFmtId="165" fontId="45" fillId="36" borderId="37" xfId="1" applyFont="1" applyFill="1" applyBorder="1" applyAlignment="1">
      <alignment horizontal="center" vertical="center"/>
    </xf>
    <xf numFmtId="165" fontId="57" fillId="0" borderId="0" xfId="1" applyFont="1" applyFill="1" applyAlignment="1">
      <alignment vertical="center"/>
    </xf>
    <xf numFmtId="165" fontId="51" fillId="0" borderId="0" xfId="1" applyFont="1" applyFill="1" applyAlignment="1">
      <alignment vertical="center"/>
    </xf>
    <xf numFmtId="165" fontId="45" fillId="0" borderId="0" xfId="1" applyFont="1" applyFill="1" applyBorder="1" applyAlignment="1">
      <alignment horizontal="center" vertical="center"/>
    </xf>
    <xf numFmtId="165" fontId="57" fillId="0" borderId="0" xfId="1" applyFont="1" applyFill="1" applyBorder="1" applyAlignment="1">
      <alignment horizontal="center" vertical="center"/>
    </xf>
    <xf numFmtId="165" fontId="55" fillId="0" borderId="0" xfId="1" applyFont="1" applyFill="1" applyBorder="1" applyAlignment="1">
      <alignment horizontal="center" vertical="center"/>
    </xf>
    <xf numFmtId="165" fontId="31" fillId="0" borderId="0" xfId="1" applyFont="1" applyFill="1" applyBorder="1" applyAlignment="1">
      <alignment horizontal="center" vertical="center"/>
    </xf>
    <xf numFmtId="165" fontId="31" fillId="0" borderId="37" xfId="1" applyFont="1" applyFill="1" applyBorder="1" applyAlignment="1">
      <alignment horizontal="center" vertical="center"/>
    </xf>
    <xf numFmtId="165" fontId="31" fillId="0" borderId="0" xfId="1" applyFont="1" applyFill="1" applyAlignment="1">
      <alignment vertical="center"/>
    </xf>
    <xf numFmtId="165" fontId="57" fillId="0" borderId="0" xfId="1" applyFont="1" applyFill="1" applyBorder="1" applyAlignment="1">
      <alignment vertical="center"/>
    </xf>
    <xf numFmtId="165" fontId="31" fillId="0" borderId="0" xfId="1" applyFont="1" applyFill="1" applyBorder="1" applyAlignment="1">
      <alignment vertical="center"/>
    </xf>
    <xf numFmtId="165" fontId="31" fillId="0" borderId="0" xfId="1" applyFont="1" applyAlignment="1">
      <alignment horizontal="center" vertical="center"/>
    </xf>
    <xf numFmtId="169" fontId="45" fillId="0" borderId="0" xfId="44" applyNumberFormat="1" applyFont="1" applyFill="1" applyBorder="1" applyAlignment="1">
      <alignment vertical="center"/>
    </xf>
    <xf numFmtId="169" fontId="58" fillId="0" borderId="37" xfId="44" applyNumberFormat="1" applyFont="1" applyFill="1" applyBorder="1" applyAlignment="1">
      <alignment vertical="center"/>
    </xf>
    <xf numFmtId="165" fontId="40" fillId="0" borderId="0" xfId="1" applyFont="1" applyAlignment="1">
      <alignment vertical="center"/>
    </xf>
    <xf numFmtId="169" fontId="40" fillId="0" borderId="37" xfId="44" applyNumberFormat="1" applyFont="1" applyBorder="1" applyAlignment="1">
      <alignment vertical="center"/>
    </xf>
    <xf numFmtId="165" fontId="40" fillId="0" borderId="37" xfId="1" applyFont="1" applyBorder="1" applyAlignment="1">
      <alignment vertical="center"/>
    </xf>
    <xf numFmtId="167" fontId="40" fillId="0" borderId="37" xfId="1" applyNumberFormat="1" applyFont="1" applyBorder="1" applyAlignment="1">
      <alignment vertical="center"/>
    </xf>
    <xf numFmtId="164" fontId="40" fillId="0" borderId="37" xfId="44" applyFont="1" applyBorder="1" applyAlignment="1">
      <alignment vertical="center"/>
    </xf>
    <xf numFmtId="164" fontId="58" fillId="33" borderId="0" xfId="44" applyFont="1" applyFill="1" applyBorder="1" applyAlignment="1">
      <alignment vertical="center"/>
    </xf>
    <xf numFmtId="164" fontId="45" fillId="0" borderId="0" xfId="44" applyFont="1" applyFill="1" applyBorder="1" applyAlignment="1">
      <alignment vertical="center"/>
    </xf>
    <xf numFmtId="169" fontId="57" fillId="0" borderId="0" xfId="44" applyNumberFormat="1" applyFont="1" applyFill="1" applyBorder="1" applyAlignment="1">
      <alignment horizontal="center" vertical="center"/>
    </xf>
    <xf numFmtId="169" fontId="57" fillId="0" borderId="37" xfId="44" applyNumberFormat="1" applyFont="1" applyFill="1" applyBorder="1" applyAlignment="1">
      <alignment horizontal="center" vertical="center"/>
    </xf>
    <xf numFmtId="164" fontId="51" fillId="0" borderId="37" xfId="44" applyFont="1" applyBorder="1" applyAlignment="1">
      <alignment vertical="center"/>
    </xf>
    <xf numFmtId="165" fontId="51" fillId="0" borderId="37" xfId="1" applyFont="1" applyBorder="1" applyAlignment="1">
      <alignment vertical="center"/>
    </xf>
    <xf numFmtId="164" fontId="57" fillId="0" borderId="0" xfId="44" applyFont="1" applyFill="1" applyBorder="1" applyAlignment="1">
      <alignment vertical="center"/>
    </xf>
    <xf numFmtId="164" fontId="51" fillId="0" borderId="0" xfId="44" applyFont="1" applyFill="1" applyBorder="1" applyAlignment="1">
      <alignment vertical="center"/>
    </xf>
    <xf numFmtId="1" fontId="40" fillId="0" borderId="0" xfId="1" applyNumberFormat="1" applyFont="1" applyAlignment="1">
      <alignment horizontal="center" vertical="center"/>
    </xf>
    <xf numFmtId="10" fontId="51" fillId="0" borderId="0" xfId="2" applyNumberFormat="1" applyFont="1" applyAlignment="1">
      <alignment vertical="center"/>
    </xf>
    <xf numFmtId="169" fontId="51" fillId="0" borderId="0" xfId="44" applyNumberFormat="1" applyFont="1" applyAlignment="1">
      <alignment vertical="center"/>
    </xf>
    <xf numFmtId="170" fontId="51" fillId="0" borderId="0" xfId="1" applyNumberFormat="1" applyFont="1" applyAlignment="1">
      <alignment vertical="center"/>
    </xf>
    <xf numFmtId="165" fontId="45" fillId="58" borderId="37" xfId="1" applyFont="1" applyFill="1" applyBorder="1" applyAlignment="1">
      <alignment horizontal="center" vertical="center"/>
    </xf>
    <xf numFmtId="165" fontId="31" fillId="0" borderId="37" xfId="1" applyFont="1" applyFill="1" applyBorder="1" applyAlignment="1">
      <alignment vertical="center"/>
    </xf>
    <xf numFmtId="165" fontId="31" fillId="0" borderId="37" xfId="1" applyFont="1" applyBorder="1" applyAlignment="1">
      <alignment horizontal="center" vertical="center"/>
    </xf>
    <xf numFmtId="164" fontId="45" fillId="36" borderId="37" xfId="44" applyFont="1" applyFill="1" applyBorder="1" applyAlignment="1">
      <alignment vertical="center"/>
    </xf>
    <xf numFmtId="1" fontId="31" fillId="0" borderId="37" xfId="1" applyNumberFormat="1" applyFont="1" applyFill="1" applyBorder="1" applyAlignment="1">
      <alignment horizontal="center" vertical="center"/>
    </xf>
    <xf numFmtId="1" fontId="32" fillId="0" borderId="37" xfId="1" applyNumberFormat="1" applyFont="1" applyBorder="1" applyAlignment="1">
      <alignment horizontal="center" vertical="center"/>
    </xf>
    <xf numFmtId="1" fontId="40" fillId="0" borderId="37" xfId="1" applyNumberFormat="1" applyFont="1" applyBorder="1" applyAlignment="1">
      <alignment horizontal="center" vertical="center"/>
    </xf>
    <xf numFmtId="9" fontId="40" fillId="0" borderId="37" xfId="2" applyFont="1" applyBorder="1" applyAlignment="1">
      <alignment vertical="center"/>
    </xf>
    <xf numFmtId="9" fontId="51" fillId="0" borderId="37" xfId="2" applyFont="1" applyBorder="1" applyAlignment="1">
      <alignment vertical="center"/>
    </xf>
    <xf numFmtId="165" fontId="51" fillId="0" borderId="19" xfId="1" applyFont="1" applyBorder="1" applyAlignment="1">
      <alignment vertical="center"/>
    </xf>
    <xf numFmtId="165" fontId="31" fillId="0" borderId="19" xfId="1" applyFont="1" applyFill="1" applyBorder="1" applyAlignment="1">
      <alignment vertical="center"/>
    </xf>
    <xf numFmtId="165" fontId="31" fillId="0" borderId="19" xfId="1" applyFont="1" applyBorder="1" applyAlignment="1">
      <alignment horizontal="center" vertical="center"/>
    </xf>
    <xf numFmtId="165" fontId="40" fillId="0" borderId="19" xfId="1" applyFont="1" applyBorder="1" applyAlignment="1">
      <alignment vertical="center"/>
    </xf>
    <xf numFmtId="169" fontId="45" fillId="58" borderId="37" xfId="44" applyNumberFormat="1" applyFont="1" applyFill="1" applyBorder="1" applyAlignment="1">
      <alignment horizontal="center" vertical="center"/>
    </xf>
    <xf numFmtId="164" fontId="31" fillId="0" borderId="37" xfId="44" applyFont="1" applyFill="1" applyBorder="1" applyAlignment="1">
      <alignment horizontal="center" vertical="center"/>
    </xf>
    <xf numFmtId="164" fontId="31" fillId="0" borderId="37" xfId="44" applyFont="1" applyFill="1" applyBorder="1" applyAlignment="1">
      <alignment vertical="center"/>
    </xf>
    <xf numFmtId="169" fontId="31" fillId="0" borderId="37" xfId="44" applyNumberFormat="1" applyFont="1" applyFill="1" applyBorder="1" applyAlignment="1">
      <alignment vertical="center"/>
    </xf>
    <xf numFmtId="169" fontId="31" fillId="0" borderId="37" xfId="44" applyNumberFormat="1" applyFont="1" applyBorder="1" applyAlignment="1">
      <alignment horizontal="center" vertical="center"/>
    </xf>
    <xf numFmtId="169" fontId="58" fillId="0" borderId="37" xfId="44" applyNumberFormat="1" applyFont="1" applyBorder="1" applyAlignment="1">
      <alignment vertical="center"/>
    </xf>
    <xf numFmtId="169" fontId="45" fillId="36" borderId="37" xfId="44" applyNumberFormat="1" applyFont="1" applyFill="1" applyBorder="1" applyAlignment="1">
      <alignment vertical="center"/>
    </xf>
    <xf numFmtId="169" fontId="57" fillId="0" borderId="37" xfId="44" applyNumberFormat="1" applyFont="1" applyBorder="1" applyAlignment="1">
      <alignment vertical="center"/>
    </xf>
    <xf numFmtId="169" fontId="57" fillId="0" borderId="37" xfId="44" applyNumberFormat="1" applyFont="1" applyBorder="1" applyAlignment="1">
      <alignment horizontal="center" vertical="center"/>
    </xf>
    <xf numFmtId="165" fontId="35" fillId="0" borderId="17" xfId="1" applyFont="1" applyBorder="1" applyAlignment="1">
      <alignment vertical="center"/>
    </xf>
    <xf numFmtId="165" fontId="36" fillId="0" borderId="17" xfId="1" applyFont="1" applyBorder="1" applyAlignment="1">
      <alignment vertical="center"/>
    </xf>
    <xf numFmtId="172" fontId="35" fillId="0" borderId="17" xfId="1" applyNumberFormat="1" applyFont="1" applyBorder="1" applyAlignment="1">
      <alignment horizontal="right" vertical="center"/>
    </xf>
    <xf numFmtId="1" fontId="33" fillId="0" borderId="26" xfId="1" applyNumberFormat="1" applyFont="1" applyFill="1" applyBorder="1" applyAlignment="1">
      <alignment horizontal="center" vertical="center"/>
    </xf>
    <xf numFmtId="165" fontId="33" fillId="0" borderId="26" xfId="1" applyFont="1" applyFill="1" applyBorder="1" applyAlignment="1">
      <alignment horizontal="center" vertical="center"/>
    </xf>
    <xf numFmtId="10" fontId="33" fillId="0" borderId="26" xfId="2" applyNumberFormat="1" applyFont="1" applyFill="1" applyBorder="1" applyAlignment="1">
      <alignment horizontal="center" vertical="center"/>
    </xf>
    <xf numFmtId="0" fontId="17" fillId="36" borderId="37" xfId="0" applyFont="1" applyFill="1" applyBorder="1"/>
    <xf numFmtId="0" fontId="13" fillId="36" borderId="37" xfId="0" applyFont="1" applyFill="1" applyBorder="1" applyAlignment="1">
      <alignment horizontal="center"/>
    </xf>
    <xf numFmtId="165" fontId="13" fillId="36" borderId="37" xfId="0" applyNumberFormat="1" applyFont="1" applyFill="1" applyBorder="1"/>
    <xf numFmtId="165" fontId="17" fillId="36" borderId="37" xfId="1" applyFont="1" applyFill="1" applyBorder="1" applyAlignment="1">
      <alignment horizontal="center"/>
    </xf>
    <xf numFmtId="165" fontId="17" fillId="36" borderId="37" xfId="1" applyFont="1" applyFill="1" applyBorder="1"/>
    <xf numFmtId="165" fontId="0" fillId="0" borderId="37" xfId="1" applyFont="1" applyFill="1" applyBorder="1"/>
    <xf numFmtId="10" fontId="0" fillId="0" borderId="37" xfId="0" applyNumberFormat="1" applyBorder="1"/>
    <xf numFmtId="10" fontId="0" fillId="0" borderId="37" xfId="2" applyNumberFormat="1" applyFont="1" applyFill="1" applyBorder="1" applyAlignment="1">
      <alignment horizontal="center"/>
    </xf>
    <xf numFmtId="165" fontId="36" fillId="35" borderId="37" xfId="1" applyFont="1" applyFill="1" applyBorder="1" applyAlignment="1">
      <alignment horizontal="centerContinuous" vertical="center"/>
    </xf>
    <xf numFmtId="165" fontId="36" fillId="45" borderId="37" xfId="1" applyFont="1" applyFill="1" applyBorder="1" applyAlignment="1">
      <alignment horizontal="centerContinuous" vertical="center"/>
    </xf>
    <xf numFmtId="165" fontId="36" fillId="47" borderId="37" xfId="1" applyFont="1" applyFill="1" applyBorder="1" applyAlignment="1">
      <alignment horizontal="centerContinuous" vertical="center"/>
    </xf>
    <xf numFmtId="165" fontId="35" fillId="47" borderId="37" xfId="1" applyFont="1" applyFill="1" applyBorder="1" applyAlignment="1">
      <alignment horizontal="centerContinuous" vertical="center"/>
    </xf>
    <xf numFmtId="165" fontId="36" fillId="44" borderId="37" xfId="1" applyFont="1" applyFill="1" applyBorder="1" applyAlignment="1">
      <alignment horizontal="centerContinuous" vertical="center"/>
    </xf>
    <xf numFmtId="165" fontId="35" fillId="44" borderId="37" xfId="1" applyFont="1" applyFill="1" applyBorder="1" applyAlignment="1">
      <alignment horizontal="centerContinuous" vertical="center"/>
    </xf>
    <xf numFmtId="165" fontId="14" fillId="0" borderId="37" xfId="1" applyFont="1" applyFill="1" applyBorder="1" applyAlignment="1">
      <alignment horizontal="center" vertical="center"/>
    </xf>
    <xf numFmtId="165" fontId="14" fillId="0" borderId="37" xfId="1" applyFont="1" applyBorder="1" applyAlignment="1">
      <alignment horizontal="center" vertical="center"/>
    </xf>
    <xf numFmtId="9" fontId="14" fillId="0" borderId="37" xfId="0" applyNumberFormat="1" applyFont="1" applyBorder="1" applyAlignment="1">
      <alignment horizontal="center" vertical="center"/>
    </xf>
    <xf numFmtId="10" fontId="14" fillId="0" borderId="37" xfId="2" applyNumberFormat="1" applyFont="1" applyFill="1" applyBorder="1" applyAlignment="1">
      <alignment horizontal="center" vertical="center"/>
    </xf>
    <xf numFmtId="0" fontId="40" fillId="34" borderId="37" xfId="0" applyFont="1" applyFill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165" fontId="40" fillId="35" borderId="37" xfId="1" applyFont="1" applyFill="1" applyBorder="1" applyAlignment="1">
      <alignment horizontal="centerContinuous" vertical="center"/>
    </xf>
    <xf numFmtId="165" fontId="40" fillId="45" borderId="37" xfId="1" applyFont="1" applyFill="1" applyBorder="1" applyAlignment="1">
      <alignment horizontal="centerContinuous" vertical="center"/>
    </xf>
    <xf numFmtId="165" fontId="40" fillId="47" borderId="37" xfId="1" applyFont="1" applyFill="1" applyBorder="1" applyAlignment="1">
      <alignment horizontal="centerContinuous" vertical="center"/>
    </xf>
    <xf numFmtId="165" fontId="51" fillId="47" borderId="37" xfId="1" applyFont="1" applyFill="1" applyBorder="1" applyAlignment="1">
      <alignment horizontal="centerContinuous" vertical="center"/>
    </xf>
    <xf numFmtId="165" fontId="40" fillId="44" borderId="37" xfId="1" applyFont="1" applyFill="1" applyBorder="1" applyAlignment="1">
      <alignment horizontal="centerContinuous" vertical="center"/>
    </xf>
    <xf numFmtId="165" fontId="51" fillId="44" borderId="37" xfId="1" applyFont="1" applyFill="1" applyBorder="1" applyAlignment="1">
      <alignment horizontal="centerContinuous" vertical="center"/>
    </xf>
    <xf numFmtId="165" fontId="40" fillId="48" borderId="37" xfId="1" applyFont="1" applyFill="1" applyBorder="1" applyAlignment="1">
      <alignment horizontal="centerContinuous" vertical="center"/>
    </xf>
    <xf numFmtId="165" fontId="51" fillId="48" borderId="37" xfId="1" applyFont="1" applyFill="1" applyBorder="1" applyAlignment="1">
      <alignment horizontal="centerContinuous" vertical="center"/>
    </xf>
    <xf numFmtId="165" fontId="40" fillId="49" borderId="37" xfId="1" applyFont="1" applyFill="1" applyBorder="1" applyAlignment="1">
      <alignment horizontal="left" vertical="center"/>
    </xf>
    <xf numFmtId="165" fontId="40" fillId="49" borderId="37" xfId="1" applyFont="1" applyFill="1" applyBorder="1" applyAlignment="1">
      <alignment horizontal="centerContinuous" vertical="center"/>
    </xf>
    <xf numFmtId="165" fontId="45" fillId="36" borderId="37" xfId="1" applyFont="1" applyFill="1" applyBorder="1" applyAlignment="1">
      <alignment horizontal="centerContinuous" vertical="center"/>
    </xf>
    <xf numFmtId="0" fontId="58" fillId="50" borderId="37" xfId="0" applyFont="1" applyFill="1" applyBorder="1" applyAlignment="1">
      <alignment horizontal="centerContinuous" vertical="center"/>
    </xf>
    <xf numFmtId="0" fontId="58" fillId="55" borderId="37" xfId="0" applyFont="1" applyFill="1" applyBorder="1" applyAlignment="1">
      <alignment horizontal="centerContinuous" vertical="center"/>
    </xf>
    <xf numFmtId="0" fontId="58" fillId="54" borderId="37" xfId="0" applyFont="1" applyFill="1" applyBorder="1" applyAlignment="1">
      <alignment horizontal="center" vertical="center"/>
    </xf>
    <xf numFmtId="0" fontId="40" fillId="54" borderId="37" xfId="0" applyFont="1" applyFill="1" applyBorder="1" applyAlignment="1">
      <alignment horizontal="center" vertical="center"/>
    </xf>
    <xf numFmtId="0" fontId="40" fillId="0" borderId="37" xfId="0" applyFont="1" applyBorder="1" applyAlignment="1">
      <alignment horizontal="center" vertical="center" wrapText="1"/>
    </xf>
    <xf numFmtId="165" fontId="40" fillId="0" borderId="0" xfId="1" applyFont="1" applyAlignment="1">
      <alignment horizontal="center" vertical="center"/>
    </xf>
    <xf numFmtId="0" fontId="40" fillId="34" borderId="61" xfId="0" applyFont="1" applyFill="1" applyBorder="1" applyAlignment="1">
      <alignment horizontal="center" vertical="center"/>
    </xf>
    <xf numFmtId="165" fontId="40" fillId="0" borderId="37" xfId="1" applyFont="1" applyFill="1" applyBorder="1" applyAlignment="1">
      <alignment horizontal="center" vertical="center"/>
    </xf>
    <xf numFmtId="0" fontId="32" fillId="0" borderId="37" xfId="0" applyFont="1" applyBorder="1" applyAlignment="1">
      <alignment horizontal="center" vertical="center"/>
    </xf>
    <xf numFmtId="10" fontId="32" fillId="33" borderId="37" xfId="2" applyNumberFormat="1" applyFont="1" applyFill="1" applyBorder="1" applyAlignment="1">
      <alignment horizontal="center" vertical="center"/>
    </xf>
    <xf numFmtId="0" fontId="31" fillId="0" borderId="37" xfId="0" applyFont="1" applyBorder="1" applyAlignment="1">
      <alignment vertical="center"/>
    </xf>
    <xf numFmtId="9" fontId="31" fillId="0" borderId="37" xfId="0" applyNumberFormat="1" applyFont="1" applyBorder="1" applyAlignment="1">
      <alignment vertical="center"/>
    </xf>
    <xf numFmtId="10" fontId="32" fillId="51" borderId="37" xfId="2" applyNumberFormat="1" applyFont="1" applyFill="1" applyBorder="1" applyAlignment="1">
      <alignment horizontal="center" vertical="center"/>
    </xf>
    <xf numFmtId="9" fontId="32" fillId="0" borderId="37" xfId="0" applyNumberFormat="1" applyFont="1" applyBorder="1" applyAlignment="1">
      <alignment horizontal="center" vertical="center"/>
    </xf>
    <xf numFmtId="9" fontId="31" fillId="0" borderId="37" xfId="0" applyNumberFormat="1" applyFont="1" applyBorder="1" applyAlignment="1">
      <alignment horizontal="center" vertical="center"/>
    </xf>
    <xf numFmtId="165" fontId="31" fillId="0" borderId="37" xfId="0" applyNumberFormat="1" applyFont="1" applyBorder="1" applyAlignment="1">
      <alignment vertical="center"/>
    </xf>
    <xf numFmtId="0" fontId="31" fillId="0" borderId="0" xfId="0" applyFont="1" applyAlignment="1">
      <alignment vertical="center"/>
    </xf>
    <xf numFmtId="0" fontId="31" fillId="0" borderId="62" xfId="0" applyFont="1" applyBorder="1" applyAlignment="1">
      <alignment vertical="center"/>
    </xf>
    <xf numFmtId="165" fontId="31" fillId="0" borderId="61" xfId="0" applyNumberFormat="1" applyFont="1" applyBorder="1" applyAlignment="1">
      <alignment vertical="center"/>
    </xf>
    <xf numFmtId="165" fontId="57" fillId="0" borderId="0" xfId="0" applyNumberFormat="1" applyFont="1" applyAlignment="1">
      <alignment vertical="center"/>
    </xf>
    <xf numFmtId="0" fontId="31" fillId="0" borderId="51" xfId="0" applyFont="1" applyBorder="1" applyAlignment="1">
      <alignment vertical="center"/>
    </xf>
    <xf numFmtId="0" fontId="31" fillId="0" borderId="10" xfId="0" applyFont="1" applyBorder="1" applyAlignment="1">
      <alignment vertical="center"/>
    </xf>
    <xf numFmtId="10" fontId="31" fillId="0" borderId="10" xfId="2" applyNumberFormat="1" applyFont="1" applyBorder="1" applyAlignment="1">
      <alignment vertical="center"/>
    </xf>
    <xf numFmtId="0" fontId="31" fillId="0" borderId="52" xfId="0" applyFont="1" applyBorder="1" applyAlignment="1">
      <alignment vertical="center"/>
    </xf>
    <xf numFmtId="10" fontId="31" fillId="0" borderId="37" xfId="2" applyNumberFormat="1" applyFont="1" applyBorder="1" applyAlignment="1">
      <alignment horizontal="center" vertical="center"/>
    </xf>
    <xf numFmtId="165" fontId="32" fillId="0" borderId="37" xfId="1" applyFont="1" applyBorder="1" applyAlignment="1">
      <alignment horizontal="center" vertical="center"/>
    </xf>
    <xf numFmtId="10" fontId="31" fillId="0" borderId="37" xfId="2" applyNumberFormat="1" applyFont="1" applyFill="1" applyBorder="1" applyAlignment="1">
      <alignment horizontal="center" vertical="center"/>
    </xf>
    <xf numFmtId="165" fontId="32" fillId="0" borderId="37" xfId="2" applyNumberFormat="1" applyFont="1" applyBorder="1" applyAlignment="1">
      <alignment horizontal="center" vertical="center"/>
    </xf>
    <xf numFmtId="10" fontId="31" fillId="0" borderId="0" xfId="2" applyNumberFormat="1" applyFont="1" applyAlignment="1">
      <alignment horizontal="center" vertical="center"/>
    </xf>
    <xf numFmtId="10" fontId="31" fillId="0" borderId="62" xfId="2" applyNumberFormat="1" applyFont="1" applyBorder="1" applyAlignment="1">
      <alignment horizontal="center" vertical="center"/>
    </xf>
    <xf numFmtId="10" fontId="31" fillId="0" borderId="61" xfId="2" applyNumberFormat="1" applyFont="1" applyBorder="1" applyAlignment="1">
      <alignment horizontal="center" vertical="center"/>
    </xf>
    <xf numFmtId="10" fontId="57" fillId="0" borderId="0" xfId="2" applyNumberFormat="1" applyFont="1" applyFill="1" applyBorder="1" applyAlignment="1">
      <alignment horizontal="center" vertical="center"/>
    </xf>
    <xf numFmtId="10" fontId="31" fillId="0" borderId="51" xfId="2" applyNumberFormat="1" applyFont="1" applyBorder="1" applyAlignment="1">
      <alignment horizontal="center" vertical="center"/>
    </xf>
    <xf numFmtId="10" fontId="31" fillId="0" borderId="10" xfId="2" applyNumberFormat="1" applyFont="1" applyBorder="1" applyAlignment="1">
      <alignment horizontal="center" vertical="center"/>
    </xf>
    <xf numFmtId="10" fontId="31" fillId="0" borderId="52" xfId="2" applyNumberFormat="1" applyFont="1" applyBorder="1" applyAlignment="1">
      <alignment horizontal="center" vertical="center"/>
    </xf>
    <xf numFmtId="165" fontId="40" fillId="0" borderId="37" xfId="0" applyNumberFormat="1" applyFont="1" applyBorder="1" applyAlignment="1">
      <alignment horizontal="center" vertical="center"/>
    </xf>
    <xf numFmtId="165" fontId="40" fillId="33" borderId="37" xfId="0" applyNumberFormat="1" applyFont="1" applyFill="1" applyBorder="1" applyAlignment="1">
      <alignment horizontal="center" vertical="center"/>
    </xf>
    <xf numFmtId="165" fontId="40" fillId="38" borderId="37" xfId="0" applyNumberFormat="1" applyFont="1" applyFill="1" applyBorder="1" applyAlignment="1">
      <alignment horizontal="center" vertical="center"/>
    </xf>
    <xf numFmtId="10" fontId="40" fillId="0" borderId="37" xfId="2" applyNumberFormat="1" applyFont="1" applyBorder="1" applyAlignment="1">
      <alignment horizontal="center" vertical="center"/>
    </xf>
    <xf numFmtId="165" fontId="40" fillId="0" borderId="62" xfId="0" applyNumberFormat="1" applyFont="1" applyBorder="1" applyAlignment="1">
      <alignment vertical="center"/>
    </xf>
    <xf numFmtId="165" fontId="40" fillId="0" borderId="37" xfId="0" applyNumberFormat="1" applyFont="1" applyBorder="1" applyAlignment="1">
      <alignment vertical="center"/>
    </xf>
    <xf numFmtId="165" fontId="40" fillId="33" borderId="61" xfId="0" applyNumberFormat="1" applyFont="1" applyFill="1" applyBorder="1" applyAlignment="1">
      <alignment vertical="center"/>
    </xf>
    <xf numFmtId="165" fontId="58" fillId="0" borderId="0" xfId="0" applyNumberFormat="1" applyFont="1" applyAlignment="1">
      <alignment vertical="center"/>
    </xf>
    <xf numFmtId="10" fontId="40" fillId="33" borderId="10" xfId="2" applyNumberFormat="1" applyFont="1" applyFill="1" applyBorder="1" applyAlignment="1">
      <alignment horizontal="center" vertical="center"/>
    </xf>
    <xf numFmtId="10" fontId="40" fillId="33" borderId="52" xfId="2" applyNumberFormat="1" applyFont="1" applyFill="1" applyBorder="1" applyAlignment="1">
      <alignment horizontal="center" vertical="center"/>
    </xf>
    <xf numFmtId="165" fontId="51" fillId="0" borderId="37" xfId="0" applyNumberFormat="1" applyFont="1" applyBorder="1" applyAlignment="1">
      <alignment horizontal="center" vertical="center"/>
    </xf>
    <xf numFmtId="165" fontId="51" fillId="0" borderId="37" xfId="0" applyNumberFormat="1" applyFont="1" applyBorder="1" applyAlignment="1">
      <alignment vertical="center"/>
    </xf>
    <xf numFmtId="10" fontId="51" fillId="0" borderId="37" xfId="2" applyNumberFormat="1" applyFont="1" applyBorder="1" applyAlignment="1">
      <alignment horizontal="center" vertical="center"/>
    </xf>
    <xf numFmtId="165" fontId="51" fillId="0" borderId="62" xfId="0" applyNumberFormat="1" applyFont="1" applyBorder="1" applyAlignment="1">
      <alignment vertical="center"/>
    </xf>
    <xf numFmtId="165" fontId="51" fillId="0" borderId="61" xfId="0" applyNumberFormat="1" applyFont="1" applyBorder="1" applyAlignment="1">
      <alignment vertical="center"/>
    </xf>
    <xf numFmtId="10" fontId="51" fillId="0" borderId="10" xfId="2" applyNumberFormat="1" applyFont="1" applyBorder="1" applyAlignment="1">
      <alignment horizontal="center" vertical="center"/>
    </xf>
    <xf numFmtId="10" fontId="51" fillId="0" borderId="52" xfId="2" applyNumberFormat="1" applyFont="1" applyBorder="1" applyAlignment="1">
      <alignment horizontal="center" vertical="center"/>
    </xf>
    <xf numFmtId="165" fontId="51" fillId="0" borderId="70" xfId="0" applyNumberFormat="1" applyFont="1" applyBorder="1" applyAlignment="1">
      <alignment vertical="center"/>
    </xf>
    <xf numFmtId="165" fontId="51" fillId="0" borderId="63" xfId="0" applyNumberFormat="1" applyFont="1" applyBorder="1" applyAlignment="1">
      <alignment vertical="center"/>
    </xf>
    <xf numFmtId="165" fontId="51" fillId="0" borderId="64" xfId="0" applyNumberFormat="1" applyFont="1" applyBorder="1" applyAlignment="1">
      <alignment vertical="center"/>
    </xf>
    <xf numFmtId="10" fontId="51" fillId="0" borderId="59" xfId="2" applyNumberFormat="1" applyFont="1" applyBorder="1" applyAlignment="1">
      <alignment horizontal="center" vertical="center"/>
    </xf>
    <xf numFmtId="10" fontId="51" fillId="0" borderId="54" xfId="2" applyNumberFormat="1" applyFont="1" applyBorder="1" applyAlignment="1">
      <alignment horizontal="center" vertical="center"/>
    </xf>
    <xf numFmtId="165" fontId="51" fillId="0" borderId="0" xfId="0" applyNumberFormat="1" applyFont="1" applyAlignment="1">
      <alignment vertical="center"/>
    </xf>
    <xf numFmtId="165" fontId="40" fillId="0" borderId="0" xfId="0" applyNumberFormat="1" applyFont="1" applyAlignment="1">
      <alignment vertical="center"/>
    </xf>
    <xf numFmtId="165" fontId="51" fillId="0" borderId="0" xfId="0" applyNumberFormat="1" applyFont="1" applyAlignment="1">
      <alignment horizontal="center" vertical="center"/>
    </xf>
    <xf numFmtId="0" fontId="45" fillId="45" borderId="37" xfId="0" applyFont="1" applyFill="1" applyBorder="1" applyAlignment="1">
      <alignment horizontal="center" vertical="center" wrapText="1"/>
    </xf>
    <xf numFmtId="165" fontId="40" fillId="49" borderId="61" xfId="1" applyFont="1" applyFill="1" applyBorder="1" applyAlignment="1">
      <alignment horizontal="centerContinuous" vertical="center"/>
    </xf>
    <xf numFmtId="165" fontId="40" fillId="0" borderId="61" xfId="1" applyFont="1" applyFill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165" fontId="31" fillId="0" borderId="61" xfId="1" applyFont="1" applyFill="1" applyBorder="1" applyAlignment="1">
      <alignment horizontal="center" vertical="center"/>
    </xf>
    <xf numFmtId="0" fontId="51" fillId="0" borderId="62" xfId="0" applyFont="1" applyBorder="1" applyAlignment="1">
      <alignment horizontal="center" vertical="center"/>
    </xf>
    <xf numFmtId="165" fontId="40" fillId="38" borderId="61" xfId="0" applyNumberFormat="1" applyFont="1" applyFill="1" applyBorder="1" applyAlignment="1">
      <alignment horizontal="center" vertical="center"/>
    </xf>
    <xf numFmtId="0" fontId="40" fillId="0" borderId="62" xfId="0" applyFont="1" applyBorder="1" applyAlignment="1">
      <alignment horizontal="center" vertical="center"/>
    </xf>
    <xf numFmtId="0" fontId="40" fillId="0" borderId="70" xfId="0" applyFont="1" applyBorder="1" applyAlignment="1">
      <alignment horizontal="center" vertical="center"/>
    </xf>
    <xf numFmtId="165" fontId="51" fillId="0" borderId="63" xfId="0" applyNumberFormat="1" applyFont="1" applyBorder="1" applyAlignment="1">
      <alignment horizontal="center" vertical="center"/>
    </xf>
    <xf numFmtId="0" fontId="40" fillId="0" borderId="56" xfId="0" applyFont="1" applyBorder="1" applyAlignment="1">
      <alignment horizontal="center" vertical="center"/>
    </xf>
    <xf numFmtId="165" fontId="40" fillId="0" borderId="56" xfId="1" applyFont="1" applyFill="1" applyBorder="1" applyAlignment="1">
      <alignment horizontal="centerContinuous" vertical="center"/>
    </xf>
    <xf numFmtId="165" fontId="40" fillId="0" borderId="56" xfId="1" applyFont="1" applyFill="1" applyBorder="1" applyAlignment="1">
      <alignment horizontal="center" vertical="center"/>
    </xf>
    <xf numFmtId="165" fontId="31" fillId="0" borderId="56" xfId="1" applyFont="1" applyFill="1" applyBorder="1" applyAlignment="1">
      <alignment horizontal="center" vertical="center"/>
    </xf>
    <xf numFmtId="10" fontId="31" fillId="0" borderId="56" xfId="2" applyNumberFormat="1" applyFont="1" applyFill="1" applyBorder="1" applyAlignment="1">
      <alignment horizontal="center" vertical="center"/>
    </xf>
    <xf numFmtId="165" fontId="40" fillId="0" borderId="56" xfId="0" applyNumberFormat="1" applyFont="1" applyBorder="1" applyAlignment="1">
      <alignment horizontal="center" vertical="center"/>
    </xf>
    <xf numFmtId="165" fontId="51" fillId="0" borderId="56" xfId="0" applyNumberFormat="1" applyFont="1" applyBorder="1" applyAlignment="1">
      <alignment vertical="center"/>
    </xf>
    <xf numFmtId="165" fontId="45" fillId="36" borderId="62" xfId="1" applyFont="1" applyFill="1" applyBorder="1" applyAlignment="1">
      <alignment horizontal="centerContinuous" vertical="center"/>
    </xf>
    <xf numFmtId="0" fontId="45" fillId="36" borderId="61" xfId="0" applyFont="1" applyFill="1" applyBorder="1" applyAlignment="1">
      <alignment horizontal="center" vertical="center"/>
    </xf>
    <xf numFmtId="165" fontId="40" fillId="0" borderId="62" xfId="1" applyFont="1" applyFill="1" applyBorder="1" applyAlignment="1">
      <alignment horizontal="center" vertical="center"/>
    </xf>
    <xf numFmtId="0" fontId="51" fillId="0" borderId="61" xfId="0" applyFont="1" applyBorder="1" applyAlignment="1">
      <alignment vertical="center"/>
    </xf>
    <xf numFmtId="165" fontId="31" fillId="0" borderId="62" xfId="1" applyFont="1" applyFill="1" applyBorder="1" applyAlignment="1">
      <alignment horizontal="center" vertical="center"/>
    </xf>
    <xf numFmtId="165" fontId="32" fillId="0" borderId="61" xfId="1" applyFont="1" applyBorder="1" applyAlignment="1">
      <alignment vertical="center"/>
    </xf>
    <xf numFmtId="10" fontId="31" fillId="0" borderId="62" xfId="2" applyNumberFormat="1" applyFont="1" applyFill="1" applyBorder="1" applyAlignment="1">
      <alignment horizontal="center" vertical="center"/>
    </xf>
    <xf numFmtId="165" fontId="40" fillId="0" borderId="62" xfId="0" applyNumberFormat="1" applyFont="1" applyBorder="1" applyAlignment="1">
      <alignment horizontal="center" vertical="center"/>
    </xf>
    <xf numFmtId="165" fontId="40" fillId="0" borderId="61" xfId="0" applyNumberFormat="1" applyFont="1" applyBorder="1" applyAlignment="1">
      <alignment horizontal="center" vertical="center"/>
    </xf>
    <xf numFmtId="0" fontId="51" fillId="0" borderId="56" xfId="0" applyFont="1" applyBorder="1"/>
    <xf numFmtId="0" fontId="31" fillId="0" borderId="56" xfId="0" applyFont="1" applyBorder="1" applyAlignment="1">
      <alignment vertical="center"/>
    </xf>
    <xf numFmtId="10" fontId="31" fillId="0" borderId="56" xfId="2" applyNumberFormat="1" applyFont="1" applyBorder="1" applyAlignment="1">
      <alignment horizontal="center" vertical="center"/>
    </xf>
    <xf numFmtId="0" fontId="58" fillId="50" borderId="62" xfId="0" applyFont="1" applyFill="1" applyBorder="1" applyAlignment="1">
      <alignment horizontal="centerContinuous" vertical="center"/>
    </xf>
    <xf numFmtId="0" fontId="40" fillId="54" borderId="61" xfId="0" applyFont="1" applyFill="1" applyBorder="1" applyAlignment="1">
      <alignment horizontal="center" vertical="center"/>
    </xf>
    <xf numFmtId="9" fontId="31" fillId="0" borderId="62" xfId="0" applyNumberFormat="1" applyFont="1" applyBorder="1" applyAlignment="1">
      <alignment vertical="center"/>
    </xf>
    <xf numFmtId="0" fontId="31" fillId="0" borderId="61" xfId="0" applyFont="1" applyBorder="1" applyAlignment="1">
      <alignment vertical="center"/>
    </xf>
    <xf numFmtId="0" fontId="51" fillId="0" borderId="56" xfId="0" applyFont="1" applyBorder="1" applyAlignment="1">
      <alignment vertical="center"/>
    </xf>
    <xf numFmtId="0" fontId="45" fillId="58" borderId="62" xfId="0" applyFont="1" applyFill="1" applyBorder="1" applyAlignment="1">
      <alignment horizontal="center" vertical="center" wrapText="1"/>
    </xf>
    <xf numFmtId="0" fontId="58" fillId="54" borderId="61" xfId="0" applyFont="1" applyFill="1" applyBorder="1" applyAlignment="1">
      <alignment horizontal="center" vertical="center"/>
    </xf>
    <xf numFmtId="10" fontId="51" fillId="0" borderId="63" xfId="2" applyNumberFormat="1" applyFont="1" applyBorder="1" applyAlignment="1">
      <alignment horizontal="center" vertical="center"/>
    </xf>
    <xf numFmtId="0" fontId="45" fillId="36" borderId="37" xfId="0" applyFont="1" applyFill="1" applyBorder="1" applyAlignment="1">
      <alignment horizontal="center" vertical="center" wrapText="1"/>
    </xf>
    <xf numFmtId="0" fontId="51" fillId="0" borderId="0" xfId="0" applyFont="1" applyAlignment="1">
      <alignment vertical="center" wrapText="1"/>
    </xf>
    <xf numFmtId="0" fontId="45" fillId="36" borderId="38" xfId="0" applyFont="1" applyFill="1" applyBorder="1" applyAlignment="1">
      <alignment horizontal="center" vertical="center" wrapText="1"/>
    </xf>
    <xf numFmtId="9" fontId="31" fillId="0" borderId="37" xfId="0" applyNumberFormat="1" applyFont="1" applyBorder="1" applyAlignment="1">
      <alignment horizontal="center" vertical="center" wrapText="1"/>
    </xf>
    <xf numFmtId="164" fontId="31" fillId="0" borderId="37" xfId="0" applyNumberFormat="1" applyFont="1" applyBorder="1" applyAlignment="1">
      <alignment vertical="center" wrapText="1"/>
    </xf>
    <xf numFmtId="0" fontId="51" fillId="0" borderId="38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164" fontId="51" fillId="0" borderId="39" xfId="0" applyNumberFormat="1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7" fillId="0" borderId="62" xfId="0" applyFont="1" applyBorder="1" applyAlignment="1">
      <alignment horizontal="center" vertical="center" wrapText="1"/>
    </xf>
    <xf numFmtId="0" fontId="57" fillId="0" borderId="37" xfId="0" applyFont="1" applyBorder="1" applyAlignment="1">
      <alignment horizontal="center" vertical="center" wrapText="1"/>
    </xf>
    <xf numFmtId="0" fontId="57" fillId="0" borderId="37" xfId="0" applyFont="1" applyBorder="1" applyAlignment="1">
      <alignment vertical="center" wrapText="1"/>
    </xf>
    <xf numFmtId="164" fontId="57" fillId="0" borderId="61" xfId="0" applyNumberFormat="1" applyFont="1" applyBorder="1" applyAlignment="1">
      <alignment horizontal="center" vertical="center" wrapText="1"/>
    </xf>
    <xf numFmtId="0" fontId="51" fillId="0" borderId="62" xfId="0" applyFont="1" applyBorder="1" applyAlignment="1">
      <alignment horizontal="center" vertical="center" wrapText="1"/>
    </xf>
    <xf numFmtId="0" fontId="51" fillId="0" borderId="61" xfId="0" applyFont="1" applyBorder="1" applyAlignment="1">
      <alignment horizontal="center" vertical="center" wrapText="1"/>
    </xf>
    <xf numFmtId="0" fontId="40" fillId="0" borderId="0" xfId="0" applyFont="1" applyAlignment="1">
      <alignment vertical="center" wrapText="1"/>
    </xf>
    <xf numFmtId="165" fontId="40" fillId="0" borderId="37" xfId="0" applyNumberFormat="1" applyFont="1" applyBorder="1" applyAlignment="1">
      <alignment vertical="center" wrapText="1"/>
    </xf>
    <xf numFmtId="169" fontId="40" fillId="0" borderId="37" xfId="44" applyNumberFormat="1" applyFont="1" applyBorder="1" applyAlignment="1">
      <alignment vertical="center" wrapText="1"/>
    </xf>
    <xf numFmtId="166" fontId="40" fillId="0" borderId="0" xfId="0" applyNumberFormat="1" applyFont="1" applyAlignment="1">
      <alignment vertical="center" wrapText="1"/>
    </xf>
    <xf numFmtId="0" fontId="40" fillId="0" borderId="38" xfId="0" applyFont="1" applyBorder="1" applyAlignment="1">
      <alignment horizontal="center" vertical="center" wrapText="1"/>
    </xf>
    <xf numFmtId="177" fontId="40" fillId="0" borderId="15" xfId="1" applyNumberFormat="1" applyFont="1" applyBorder="1" applyAlignment="1">
      <alignment horizontal="center" vertical="center" wrapText="1"/>
    </xf>
    <xf numFmtId="164" fontId="40" fillId="0" borderId="39" xfId="0" applyNumberFormat="1" applyFont="1" applyBorder="1" applyAlignment="1">
      <alignment horizontal="center" vertical="center" wrapText="1"/>
    </xf>
    <xf numFmtId="177" fontId="40" fillId="0" borderId="62" xfId="1" applyNumberFormat="1" applyFont="1" applyBorder="1" applyAlignment="1">
      <alignment vertical="center" wrapText="1"/>
    </xf>
    <xf numFmtId="177" fontId="40" fillId="0" borderId="37" xfId="1" applyNumberFormat="1" applyFont="1" applyBorder="1" applyAlignment="1">
      <alignment vertical="center" wrapText="1"/>
    </xf>
    <xf numFmtId="177" fontId="40" fillId="0" borderId="37" xfId="0" applyNumberFormat="1" applyFont="1" applyBorder="1" applyAlignment="1">
      <alignment vertical="center" wrapText="1"/>
    </xf>
    <xf numFmtId="164" fontId="40" fillId="0" borderId="61" xfId="44" applyFont="1" applyBorder="1" applyAlignment="1">
      <alignment vertical="center" wrapText="1"/>
    </xf>
    <xf numFmtId="165" fontId="51" fillId="0" borderId="0" xfId="0" applyNumberFormat="1" applyFont="1" applyAlignment="1">
      <alignment vertical="center" wrapText="1"/>
    </xf>
    <xf numFmtId="165" fontId="51" fillId="0" borderId="37" xfId="0" applyNumberFormat="1" applyFont="1" applyBorder="1" applyAlignment="1">
      <alignment vertical="center" wrapText="1"/>
    </xf>
    <xf numFmtId="169" fontId="51" fillId="0" borderId="37" xfId="44" applyNumberFormat="1" applyFont="1" applyBorder="1" applyAlignment="1">
      <alignment vertical="center" wrapText="1"/>
    </xf>
    <xf numFmtId="166" fontId="51" fillId="0" borderId="0" xfId="2" applyNumberFormat="1" applyFont="1" applyAlignment="1">
      <alignment horizontal="center" vertical="center" wrapText="1"/>
    </xf>
    <xf numFmtId="177" fontId="51" fillId="0" borderId="15" xfId="1" applyNumberFormat="1" applyFont="1" applyBorder="1" applyAlignment="1">
      <alignment horizontal="center" vertical="center" wrapText="1"/>
    </xf>
    <xf numFmtId="164" fontId="51" fillId="0" borderId="39" xfId="44" applyFont="1" applyBorder="1" applyAlignment="1">
      <alignment horizontal="center" vertical="center" wrapText="1"/>
    </xf>
    <xf numFmtId="177" fontId="51" fillId="0" borderId="62" xfId="1" applyNumberFormat="1" applyFont="1" applyBorder="1" applyAlignment="1">
      <alignment vertical="center" wrapText="1"/>
    </xf>
    <xf numFmtId="177" fontId="51" fillId="0" borderId="37" xfId="1" applyNumberFormat="1" applyFont="1" applyBorder="1" applyAlignment="1">
      <alignment vertical="center" wrapText="1"/>
    </xf>
    <xf numFmtId="164" fontId="51" fillId="0" borderId="61" xfId="44" applyFont="1" applyBorder="1" applyAlignment="1">
      <alignment vertical="center" wrapText="1"/>
    </xf>
    <xf numFmtId="169" fontId="51" fillId="0" borderId="61" xfId="44" applyNumberFormat="1" applyFont="1" applyBorder="1" applyAlignment="1">
      <alignment vertical="center" wrapText="1"/>
    </xf>
    <xf numFmtId="0" fontId="51" fillId="0" borderId="40" xfId="0" applyFont="1" applyBorder="1" applyAlignment="1">
      <alignment horizontal="center" vertical="center" wrapText="1"/>
    </xf>
    <xf numFmtId="177" fontId="51" fillId="0" borderId="47" xfId="1" applyNumberFormat="1" applyFont="1" applyBorder="1" applyAlignment="1">
      <alignment horizontal="center" vertical="center" wrapText="1"/>
    </xf>
    <xf numFmtId="164" fontId="51" fillId="0" borderId="41" xfId="44" applyFont="1" applyBorder="1" applyAlignment="1">
      <alignment horizontal="center" vertical="center" wrapText="1"/>
    </xf>
    <xf numFmtId="177" fontId="51" fillId="0" borderId="70" xfId="1" applyNumberFormat="1" applyFont="1" applyBorder="1" applyAlignment="1">
      <alignment vertical="center" wrapText="1"/>
    </xf>
    <xf numFmtId="177" fontId="51" fillId="0" borderId="63" xfId="1" applyNumberFormat="1" applyFont="1" applyBorder="1" applyAlignment="1">
      <alignment vertical="center" wrapText="1"/>
    </xf>
    <xf numFmtId="165" fontId="51" fillId="0" borderId="63" xfId="0" applyNumberFormat="1" applyFont="1" applyBorder="1" applyAlignment="1">
      <alignment vertical="center" wrapText="1"/>
    </xf>
    <xf numFmtId="169" fontId="51" fillId="0" borderId="64" xfId="44" applyNumberFormat="1" applyFont="1" applyBorder="1" applyAlignment="1">
      <alignment vertical="center" wrapText="1"/>
    </xf>
    <xf numFmtId="0" fontId="66" fillId="0" borderId="37" xfId="0" applyFont="1" applyBorder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0" fontId="66" fillId="0" borderId="38" xfId="0" applyFont="1" applyBorder="1" applyAlignment="1">
      <alignment horizontal="center" vertical="center" wrapText="1"/>
    </xf>
    <xf numFmtId="0" fontId="66" fillId="0" borderId="15" xfId="0" applyFont="1" applyBorder="1" applyAlignment="1">
      <alignment horizontal="center" vertical="center" wrapText="1"/>
    </xf>
    <xf numFmtId="0" fontId="66" fillId="0" borderId="39" xfId="0" applyFont="1" applyBorder="1" applyAlignment="1">
      <alignment horizontal="center" vertical="center" wrapText="1"/>
    </xf>
    <xf numFmtId="0" fontId="66" fillId="0" borderId="62" xfId="0" applyFont="1" applyBorder="1" applyAlignment="1">
      <alignment horizontal="center" vertical="center" wrapText="1"/>
    </xf>
    <xf numFmtId="0" fontId="66" fillId="0" borderId="61" xfId="0" applyFont="1" applyBorder="1" applyAlignment="1">
      <alignment horizontal="center" vertical="center" wrapText="1"/>
    </xf>
    <xf numFmtId="0" fontId="45" fillId="36" borderId="68" xfId="0" applyFont="1" applyFill="1" applyBorder="1" applyAlignment="1">
      <alignment horizontal="center" vertical="center" wrapText="1"/>
    </xf>
    <xf numFmtId="0" fontId="45" fillId="36" borderId="69" xfId="0" applyFont="1" applyFill="1" applyBorder="1" applyAlignment="1">
      <alignment horizontal="center" vertical="center" wrapText="1"/>
    </xf>
    <xf numFmtId="0" fontId="45" fillId="36" borderId="62" xfId="0" applyFont="1" applyFill="1" applyBorder="1" applyAlignment="1">
      <alignment horizontal="center" vertical="center" wrapText="1"/>
    </xf>
    <xf numFmtId="0" fontId="45" fillId="36" borderId="61" xfId="0" applyFont="1" applyFill="1" applyBorder="1" applyAlignment="1">
      <alignment horizontal="center" vertical="center" wrapText="1"/>
    </xf>
    <xf numFmtId="0" fontId="51" fillId="0" borderId="62" xfId="0" applyFont="1" applyBorder="1" applyAlignment="1">
      <alignment vertical="center" wrapText="1"/>
    </xf>
    <xf numFmtId="0" fontId="51" fillId="0" borderId="61" xfId="0" applyFont="1" applyBorder="1" applyAlignment="1">
      <alignment vertical="center" wrapText="1"/>
    </xf>
    <xf numFmtId="0" fontId="40" fillId="0" borderId="62" xfId="0" applyFont="1" applyBorder="1" applyAlignment="1">
      <alignment vertical="center" wrapText="1"/>
    </xf>
    <xf numFmtId="165" fontId="40" fillId="0" borderId="61" xfId="0" applyNumberFormat="1" applyFont="1" applyBorder="1" applyAlignment="1">
      <alignment vertical="center" wrapText="1"/>
    </xf>
    <xf numFmtId="0" fontId="40" fillId="0" borderId="62" xfId="0" applyFont="1" applyBorder="1" applyAlignment="1">
      <alignment horizontal="center" vertical="center" wrapText="1"/>
    </xf>
    <xf numFmtId="165" fontId="51" fillId="0" borderId="61" xfId="0" applyNumberFormat="1" applyFont="1" applyBorder="1" applyAlignment="1">
      <alignment vertical="center" wrapText="1"/>
    </xf>
    <xf numFmtId="0" fontId="40" fillId="0" borderId="70" xfId="0" applyFont="1" applyBorder="1" applyAlignment="1">
      <alignment horizontal="center" vertical="center" wrapText="1"/>
    </xf>
    <xf numFmtId="165" fontId="51" fillId="0" borderId="64" xfId="0" applyNumberFormat="1" applyFont="1" applyBorder="1" applyAlignment="1">
      <alignment vertical="center" wrapText="1"/>
    </xf>
    <xf numFmtId="0" fontId="45" fillId="36" borderId="71" xfId="0" applyFont="1" applyFill="1" applyBorder="1" applyAlignment="1">
      <alignment horizontal="center" vertical="center" wrapText="1"/>
    </xf>
    <xf numFmtId="0" fontId="45" fillId="36" borderId="61" xfId="0" applyFont="1" applyFill="1" applyBorder="1" applyAlignment="1">
      <alignment vertical="center" wrapText="1"/>
    </xf>
    <xf numFmtId="9" fontId="31" fillId="0" borderId="62" xfId="0" applyNumberFormat="1" applyFont="1" applyBorder="1" applyAlignment="1">
      <alignment horizontal="center" vertical="center" wrapText="1"/>
    </xf>
    <xf numFmtId="165" fontId="40" fillId="0" borderId="62" xfId="0" applyNumberFormat="1" applyFont="1" applyBorder="1" applyAlignment="1">
      <alignment vertical="center" wrapText="1"/>
    </xf>
    <xf numFmtId="165" fontId="51" fillId="0" borderId="62" xfId="0" applyNumberFormat="1" applyFont="1" applyBorder="1" applyAlignment="1">
      <alignment vertical="center" wrapText="1"/>
    </xf>
    <xf numFmtId="165" fontId="51" fillId="0" borderId="70" xfId="0" applyNumberFormat="1" applyFont="1" applyBorder="1" applyAlignment="1">
      <alignment vertical="center" wrapText="1"/>
    </xf>
    <xf numFmtId="0" fontId="31" fillId="0" borderId="62" xfId="0" applyFont="1" applyBorder="1" applyAlignment="1">
      <alignment vertical="center" wrapText="1"/>
    </xf>
    <xf numFmtId="166" fontId="40" fillId="0" borderId="61" xfId="0" applyNumberFormat="1" applyFont="1" applyBorder="1" applyAlignment="1">
      <alignment vertical="center" wrapText="1"/>
    </xf>
    <xf numFmtId="166" fontId="51" fillId="0" borderId="61" xfId="2" applyNumberFormat="1" applyFont="1" applyBorder="1" applyAlignment="1">
      <alignment horizontal="center" vertical="center" wrapText="1"/>
    </xf>
    <xf numFmtId="169" fontId="51" fillId="0" borderId="63" xfId="44" applyNumberFormat="1" applyFont="1" applyBorder="1" applyAlignment="1">
      <alignment vertical="center" wrapText="1"/>
    </xf>
    <xf numFmtId="166" fontId="51" fillId="0" borderId="64" xfId="2" applyNumberFormat="1" applyFont="1" applyBorder="1" applyAlignment="1">
      <alignment horizontal="center" vertical="center" wrapText="1"/>
    </xf>
    <xf numFmtId="0" fontId="45" fillId="36" borderId="49" xfId="0" applyFont="1" applyFill="1" applyBorder="1" applyAlignment="1">
      <alignment horizontal="center"/>
    </xf>
    <xf numFmtId="0" fontId="45" fillId="36" borderId="58" xfId="0" applyFont="1" applyFill="1" applyBorder="1" applyAlignment="1">
      <alignment horizontal="center"/>
    </xf>
    <xf numFmtId="0" fontId="45" fillId="36" borderId="50" xfId="0" applyFont="1" applyFill="1" applyBorder="1" applyAlignment="1">
      <alignment horizontal="center"/>
    </xf>
    <xf numFmtId="0" fontId="51" fillId="0" borderId="51" xfId="0" applyFont="1" applyBorder="1" applyAlignment="1">
      <alignment horizontal="center"/>
    </xf>
    <xf numFmtId="0" fontId="51" fillId="0" borderId="10" xfId="0" applyFont="1" applyBorder="1"/>
    <xf numFmtId="169" fontId="51" fillId="0" borderId="10" xfId="44" applyNumberFormat="1" applyFont="1" applyBorder="1"/>
    <xf numFmtId="0" fontId="51" fillId="0" borderId="52" xfId="0" applyFont="1" applyBorder="1" applyAlignment="1">
      <alignment horizontal="center"/>
    </xf>
    <xf numFmtId="0" fontId="40" fillId="0" borderId="53" xfId="0" applyFont="1" applyBorder="1" applyAlignment="1">
      <alignment horizontal="center"/>
    </xf>
    <xf numFmtId="0" fontId="40" fillId="0" borderId="59" xfId="0" applyFont="1" applyBorder="1"/>
    <xf numFmtId="169" fontId="40" fillId="0" borderId="59" xfId="44" applyNumberFormat="1" applyFont="1" applyBorder="1"/>
    <xf numFmtId="0" fontId="51" fillId="0" borderId="54" xfId="0" applyFont="1" applyBorder="1" applyAlignment="1">
      <alignment horizontal="center"/>
    </xf>
    <xf numFmtId="166" fontId="14" fillId="0" borderId="37" xfId="0" applyNumberFormat="1" applyFont="1" applyBorder="1" applyAlignment="1">
      <alignment horizontal="center" vertical="center"/>
    </xf>
    <xf numFmtId="2" fontId="14" fillId="0" borderId="37" xfId="0" applyNumberFormat="1" applyFont="1" applyBorder="1" applyAlignment="1">
      <alignment horizontal="center" vertical="center"/>
    </xf>
    <xf numFmtId="165" fontId="36" fillId="48" borderId="37" xfId="1" applyFont="1" applyFill="1" applyBorder="1" applyAlignment="1">
      <alignment horizontal="left" vertical="center"/>
    </xf>
    <xf numFmtId="0" fontId="18" fillId="50" borderId="37" xfId="0" applyFont="1" applyFill="1" applyBorder="1" applyAlignment="1">
      <alignment horizontal="center" vertical="center"/>
    </xf>
    <xf numFmtId="0" fontId="18" fillId="55" borderId="37" xfId="0" applyFont="1" applyFill="1" applyBorder="1" applyAlignment="1">
      <alignment horizontal="center" vertical="center"/>
    </xf>
    <xf numFmtId="165" fontId="0" fillId="0" borderId="37" xfId="1" applyFont="1" applyFill="1" applyBorder="1" applyAlignment="1">
      <alignment horizontal="center" vertical="center"/>
    </xf>
    <xf numFmtId="165" fontId="0" fillId="0" borderId="37" xfId="1" applyFont="1" applyFill="1" applyBorder="1" applyAlignment="1">
      <alignment vertical="center"/>
    </xf>
    <xf numFmtId="0" fontId="16" fillId="0" borderId="62" xfId="0" applyFont="1" applyBorder="1" applyAlignment="1">
      <alignment horizontal="center" vertical="center"/>
    </xf>
    <xf numFmtId="2" fontId="14" fillId="0" borderId="61" xfId="0" applyNumberFormat="1" applyFont="1" applyBorder="1" applyAlignment="1">
      <alignment horizontal="center" vertical="center"/>
    </xf>
    <xf numFmtId="2" fontId="14" fillId="0" borderId="61" xfId="2" applyNumberFormat="1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2" fontId="16" fillId="0" borderId="61" xfId="0" applyNumberFormat="1" applyFont="1" applyBorder="1" applyAlignment="1">
      <alignment horizontal="center" vertical="center"/>
    </xf>
    <xf numFmtId="0" fontId="16" fillId="0" borderId="70" xfId="0" applyFont="1" applyBorder="1" applyAlignment="1">
      <alignment horizontal="center" vertical="center"/>
    </xf>
    <xf numFmtId="165" fontId="0" fillId="0" borderId="63" xfId="0" applyNumberFormat="1" applyBorder="1" applyAlignment="1">
      <alignment horizontal="center" vertical="center"/>
    </xf>
    <xf numFmtId="2" fontId="0" fillId="0" borderId="56" xfId="0" applyNumberFormat="1" applyBorder="1" applyAlignment="1">
      <alignment horizontal="center" vertical="center"/>
    </xf>
    <xf numFmtId="0" fontId="16" fillId="0" borderId="56" xfId="0" applyFont="1" applyBorder="1" applyAlignment="1">
      <alignment horizontal="center" vertical="center"/>
    </xf>
    <xf numFmtId="2" fontId="16" fillId="0" borderId="56" xfId="0" applyNumberFormat="1" applyFont="1" applyBorder="1" applyAlignment="1">
      <alignment horizontal="center" vertical="center"/>
    </xf>
    <xf numFmtId="2" fontId="14" fillId="0" borderId="56" xfId="0" applyNumberFormat="1" applyFont="1" applyBorder="1" applyAlignment="1">
      <alignment horizontal="center" vertical="center"/>
    </xf>
    <xf numFmtId="2" fontId="14" fillId="0" borderId="56" xfId="2" applyNumberFormat="1" applyFont="1" applyFill="1" applyBorder="1" applyAlignment="1">
      <alignment horizontal="center" vertical="center"/>
    </xf>
    <xf numFmtId="166" fontId="14" fillId="0" borderId="62" xfId="0" applyNumberFormat="1" applyFont="1" applyBorder="1" applyAlignment="1">
      <alignment horizontal="center" vertical="center"/>
    </xf>
    <xf numFmtId="10" fontId="14" fillId="0" borderId="62" xfId="2" applyNumberFormat="1" applyFont="1" applyFill="1" applyBorder="1" applyAlignment="1">
      <alignment horizontal="center" vertical="center"/>
    </xf>
    <xf numFmtId="165" fontId="36" fillId="35" borderId="62" xfId="1" applyFont="1" applyFill="1" applyBorder="1" applyAlignment="1">
      <alignment horizontal="center" vertical="center"/>
    </xf>
    <xf numFmtId="165" fontId="35" fillId="48" borderId="61" xfId="1" applyFont="1" applyFill="1" applyBorder="1" applyAlignment="1">
      <alignment horizontal="centerContinuous" vertical="center"/>
    </xf>
    <xf numFmtId="165" fontId="0" fillId="0" borderId="62" xfId="1" applyFont="1" applyFill="1" applyBorder="1" applyAlignment="1">
      <alignment horizontal="center" vertical="center"/>
    </xf>
    <xf numFmtId="165" fontId="14" fillId="0" borderId="61" xfId="1" applyFont="1" applyFill="1" applyBorder="1" applyAlignment="1">
      <alignment horizontal="center" vertical="center"/>
    </xf>
    <xf numFmtId="165" fontId="16" fillId="0" borderId="61" xfId="0" applyNumberFormat="1" applyFont="1" applyBorder="1" applyAlignment="1">
      <alignment horizontal="center" vertical="center"/>
    </xf>
    <xf numFmtId="0" fontId="18" fillId="55" borderId="61" xfId="0" applyFont="1" applyFill="1" applyBorder="1" applyAlignment="1">
      <alignment horizontal="center" vertical="center"/>
    </xf>
    <xf numFmtId="165" fontId="14" fillId="0" borderId="62" xfId="1" applyFont="1" applyFill="1" applyBorder="1" applyAlignment="1">
      <alignment horizontal="center" vertical="center"/>
    </xf>
    <xf numFmtId="165" fontId="14" fillId="0" borderId="61" xfId="1" applyFont="1" applyBorder="1" applyAlignment="1">
      <alignment horizontal="center" vertical="center"/>
    </xf>
    <xf numFmtId="0" fontId="31" fillId="0" borderId="37" xfId="0" applyFont="1" applyBorder="1" applyAlignment="1">
      <alignment horizontal="right" vertical="center" wrapText="1"/>
    </xf>
    <xf numFmtId="169" fontId="21" fillId="0" borderId="37" xfId="0" applyNumberFormat="1" applyFont="1" applyBorder="1" applyAlignment="1">
      <alignment horizontal="center" vertical="center" wrapText="1"/>
    </xf>
    <xf numFmtId="165" fontId="18" fillId="35" borderId="37" xfId="0" applyNumberFormat="1" applyFont="1" applyFill="1" applyBorder="1" applyAlignment="1">
      <alignment horizontal="center" vertical="center" wrapText="1"/>
    </xf>
    <xf numFmtId="165" fontId="18" fillId="45" borderId="37" xfId="0" applyNumberFormat="1" applyFont="1" applyFill="1" applyBorder="1" applyAlignment="1">
      <alignment horizontal="center" vertical="center" wrapText="1"/>
    </xf>
    <xf numFmtId="165" fontId="18" fillId="47" borderId="37" xfId="0" applyNumberFormat="1" applyFont="1" applyFill="1" applyBorder="1" applyAlignment="1">
      <alignment horizontal="center" vertical="center" wrapText="1"/>
    </xf>
    <xf numFmtId="165" fontId="18" fillId="44" borderId="37" xfId="0" applyNumberFormat="1" applyFont="1" applyFill="1" applyBorder="1" applyAlignment="1">
      <alignment horizontal="center" vertical="center" wrapText="1"/>
    </xf>
    <xf numFmtId="165" fontId="18" fillId="39" borderId="37" xfId="0" applyNumberFormat="1" applyFont="1" applyFill="1" applyBorder="1" applyAlignment="1">
      <alignment horizontal="center" vertical="center" wrapText="1"/>
    </xf>
    <xf numFmtId="165" fontId="13" fillId="34" borderId="37" xfId="0" applyNumberFormat="1" applyFont="1" applyFill="1" applyBorder="1" applyAlignment="1">
      <alignment horizontal="center" vertical="center" wrapText="1"/>
    </xf>
    <xf numFmtId="0" fontId="13" fillId="50" borderId="37" xfId="0" applyFont="1" applyFill="1" applyBorder="1" applyAlignment="1">
      <alignment horizontal="center" vertical="center" wrapText="1"/>
    </xf>
    <xf numFmtId="0" fontId="13" fillId="55" borderId="37" xfId="0" applyFont="1" applyFill="1" applyBorder="1" applyAlignment="1">
      <alignment horizontal="center" vertical="center" wrapText="1"/>
    </xf>
    <xf numFmtId="165" fontId="16" fillId="66" borderId="37" xfId="0" applyNumberFormat="1" applyFont="1" applyFill="1" applyBorder="1" applyAlignment="1">
      <alignment horizontal="centerContinuous" vertical="center" wrapText="1"/>
    </xf>
    <xf numFmtId="165" fontId="16" fillId="47" borderId="37" xfId="0" applyNumberFormat="1" applyFont="1" applyFill="1" applyBorder="1" applyAlignment="1">
      <alignment horizontal="center" vertical="center" wrapText="1"/>
    </xf>
    <xf numFmtId="165" fontId="16" fillId="44" borderId="37" xfId="0" applyNumberFormat="1" applyFont="1" applyFill="1" applyBorder="1" applyAlignment="1">
      <alignment horizontal="center" vertical="center" wrapText="1"/>
    </xf>
    <xf numFmtId="165" fontId="16" fillId="39" borderId="37" xfId="0" applyNumberFormat="1" applyFont="1" applyFill="1" applyBorder="1" applyAlignment="1">
      <alignment horizontal="center" vertical="center" wrapText="1"/>
    </xf>
    <xf numFmtId="165" fontId="16" fillId="50" borderId="37" xfId="0" applyNumberFormat="1" applyFont="1" applyFill="1" applyBorder="1" applyAlignment="1">
      <alignment horizontal="center" vertical="center" wrapText="1"/>
    </xf>
    <xf numFmtId="165" fontId="13" fillId="36" borderId="37" xfId="0" applyNumberFormat="1" applyFont="1" applyFill="1" applyBorder="1" applyAlignment="1">
      <alignment horizontal="center" vertical="center" wrapText="1"/>
    </xf>
    <xf numFmtId="165" fontId="18" fillId="33" borderId="37" xfId="0" applyNumberFormat="1" applyFont="1" applyFill="1" applyBorder="1" applyAlignment="1">
      <alignment vertical="center" wrapText="1"/>
    </xf>
    <xf numFmtId="169" fontId="42" fillId="33" borderId="37" xfId="0" applyNumberFormat="1" applyFont="1" applyFill="1" applyBorder="1" applyAlignment="1">
      <alignment vertical="center" wrapText="1"/>
    </xf>
    <xf numFmtId="9" fontId="21" fillId="0" borderId="61" xfId="2" applyFont="1" applyBorder="1" applyAlignment="1">
      <alignment horizontal="center" vertical="center" wrapText="1"/>
    </xf>
    <xf numFmtId="0" fontId="41" fillId="0" borderId="62" xfId="0" applyFont="1" applyBorder="1" applyAlignment="1">
      <alignment horizontal="center" vertical="center" wrapText="1"/>
    </xf>
    <xf numFmtId="9" fontId="41" fillId="0" borderId="61" xfId="2" applyFont="1" applyBorder="1" applyAlignment="1">
      <alignment horizontal="center" vertical="center" wrapText="1"/>
    </xf>
    <xf numFmtId="0" fontId="18" fillId="0" borderId="62" xfId="0" applyFont="1" applyBorder="1" applyAlignment="1">
      <alignment horizontal="center" vertical="center" wrapText="1"/>
    </xf>
    <xf numFmtId="9" fontId="24" fillId="0" borderId="61" xfId="2" applyFont="1" applyFill="1" applyBorder="1" applyAlignment="1">
      <alignment horizontal="center" vertical="center" wrapText="1"/>
    </xf>
    <xf numFmtId="9" fontId="0" fillId="0" borderId="61" xfId="2" applyFont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0" borderId="63" xfId="0" applyBorder="1" applyAlignment="1">
      <alignment vertical="center" wrapText="1"/>
    </xf>
    <xf numFmtId="169" fontId="0" fillId="0" borderId="63" xfId="44" applyNumberFormat="1" applyFont="1" applyBorder="1" applyAlignment="1">
      <alignment vertical="center" wrapText="1"/>
    </xf>
    <xf numFmtId="169" fontId="16" fillId="0" borderId="63" xfId="0" applyNumberFormat="1" applyFont="1" applyBorder="1" applyAlignment="1">
      <alignment vertical="center" wrapText="1"/>
    </xf>
    <xf numFmtId="9" fontId="0" fillId="0" borderId="64" xfId="2" applyFont="1" applyBorder="1" applyAlignment="1">
      <alignment horizontal="center" vertical="center" wrapText="1"/>
    </xf>
    <xf numFmtId="0" fontId="13" fillId="36" borderId="37" xfId="0" applyFont="1" applyFill="1" applyBorder="1"/>
    <xf numFmtId="0" fontId="13" fillId="36" borderId="62" xfId="0" applyFont="1" applyFill="1" applyBorder="1" applyAlignment="1">
      <alignment horizontal="center"/>
    </xf>
    <xf numFmtId="0" fontId="0" fillId="0" borderId="62" xfId="0" applyBorder="1" applyAlignment="1">
      <alignment horizontal="center"/>
    </xf>
    <xf numFmtId="0" fontId="16" fillId="0" borderId="62" xfId="0" applyFont="1" applyBorder="1" applyAlignment="1">
      <alignment horizontal="center"/>
    </xf>
    <xf numFmtId="165" fontId="21" fillId="0" borderId="37" xfId="0" applyNumberFormat="1" applyFont="1" applyBorder="1"/>
    <xf numFmtId="165" fontId="18" fillId="33" borderId="37" xfId="0" applyNumberFormat="1" applyFont="1" applyFill="1" applyBorder="1"/>
    <xf numFmtId="165" fontId="18" fillId="0" borderId="37" xfId="0" applyNumberFormat="1" applyFont="1" applyBorder="1"/>
    <xf numFmtId="165" fontId="14" fillId="0" borderId="37" xfId="0" applyNumberFormat="1" applyFont="1" applyBorder="1"/>
    <xf numFmtId="165" fontId="24" fillId="0" borderId="37" xfId="0" applyNumberFormat="1" applyFont="1" applyBorder="1"/>
    <xf numFmtId="165" fontId="14" fillId="0" borderId="63" xfId="1" applyFont="1" applyBorder="1"/>
    <xf numFmtId="165" fontId="24" fillId="0" borderId="63" xfId="0" applyNumberFormat="1" applyFont="1" applyBorder="1"/>
    <xf numFmtId="165" fontId="13" fillId="36" borderId="69" xfId="1" applyFont="1" applyFill="1" applyBorder="1" applyAlignment="1">
      <alignment horizontal="centerContinuous"/>
    </xf>
    <xf numFmtId="0" fontId="67" fillId="0" borderId="15" xfId="0" applyFont="1" applyBorder="1" applyAlignment="1">
      <alignment horizontal="center" vertical="center" wrapText="1"/>
    </xf>
    <xf numFmtId="0" fontId="68" fillId="0" borderId="15" xfId="0" applyFont="1" applyBorder="1" applyAlignment="1">
      <alignment horizontal="center" vertical="center" wrapText="1"/>
    </xf>
    <xf numFmtId="0" fontId="68" fillId="0" borderId="15" xfId="0" applyFont="1" applyBorder="1" applyAlignment="1">
      <alignment vertical="center" wrapText="1"/>
    </xf>
    <xf numFmtId="9" fontId="68" fillId="0" borderId="15" xfId="2" applyFont="1" applyFill="1" applyBorder="1" applyAlignment="1">
      <alignment horizontal="center" vertical="center" wrapText="1"/>
    </xf>
    <xf numFmtId="0" fontId="68" fillId="0" borderId="15" xfId="0" applyFont="1" applyBorder="1" applyAlignment="1">
      <alignment horizontal="centerContinuous" vertical="center" wrapText="1"/>
    </xf>
    <xf numFmtId="164" fontId="68" fillId="0" borderId="15" xfId="44" applyFont="1" applyFill="1" applyBorder="1" applyAlignment="1">
      <alignment horizontal="center" vertical="center" wrapText="1"/>
    </xf>
    <xf numFmtId="10" fontId="68" fillId="0" borderId="15" xfId="2" applyNumberFormat="1" applyFont="1" applyFill="1" applyBorder="1" applyAlignment="1">
      <alignment horizontal="centerContinuous" vertical="center" wrapText="1"/>
    </xf>
    <xf numFmtId="10" fontId="68" fillId="0" borderId="15" xfId="2" applyNumberFormat="1" applyFont="1" applyFill="1" applyBorder="1" applyAlignment="1">
      <alignment horizontal="center" vertical="center" wrapText="1"/>
    </xf>
    <xf numFmtId="10" fontId="68" fillId="0" borderId="15" xfId="2" applyNumberFormat="1" applyFont="1" applyFill="1" applyBorder="1" applyAlignment="1">
      <alignment vertical="center" wrapText="1"/>
    </xf>
    <xf numFmtId="10" fontId="68" fillId="0" borderId="15" xfId="0" applyNumberFormat="1" applyFont="1" applyBorder="1" applyAlignment="1">
      <alignment vertical="center" wrapText="1"/>
    </xf>
    <xf numFmtId="0" fontId="67" fillId="0" borderId="15" xfId="0" applyFont="1" applyBorder="1" applyAlignment="1">
      <alignment vertical="center" wrapText="1"/>
    </xf>
    <xf numFmtId="0" fontId="69" fillId="0" borderId="15" xfId="0" applyFont="1" applyBorder="1" applyAlignment="1">
      <alignment horizontal="right" vertical="center" wrapText="1"/>
    </xf>
    <xf numFmtId="169" fontId="70" fillId="0" borderId="15" xfId="0" applyNumberFormat="1" applyFont="1" applyBorder="1" applyAlignment="1">
      <alignment horizontal="center" vertical="center" wrapText="1"/>
    </xf>
    <xf numFmtId="9" fontId="67" fillId="0" borderId="15" xfId="2" applyFont="1" applyFill="1" applyBorder="1" applyAlignment="1">
      <alignment horizontal="center" vertical="center" wrapText="1"/>
    </xf>
    <xf numFmtId="169" fontId="68" fillId="0" borderId="15" xfId="0" applyNumberFormat="1" applyFont="1" applyBorder="1" applyAlignment="1">
      <alignment vertical="center" wrapText="1"/>
    </xf>
    <xf numFmtId="169" fontId="67" fillId="0" borderId="15" xfId="0" applyNumberFormat="1" applyFont="1" applyBorder="1" applyAlignment="1">
      <alignment vertical="center" wrapText="1"/>
    </xf>
    <xf numFmtId="9" fontId="67" fillId="0" borderId="15" xfId="0" applyNumberFormat="1" applyFont="1" applyBorder="1" applyAlignment="1">
      <alignment vertical="center" wrapText="1"/>
    </xf>
    <xf numFmtId="164" fontId="67" fillId="0" borderId="15" xfId="44" applyFont="1" applyFill="1" applyBorder="1" applyAlignment="1">
      <alignment horizontal="center" vertical="center" wrapText="1"/>
    </xf>
    <xf numFmtId="169" fontId="67" fillId="0" borderId="15" xfId="44" applyNumberFormat="1" applyFont="1" applyFill="1" applyBorder="1" applyAlignment="1">
      <alignment vertical="center" wrapText="1"/>
    </xf>
    <xf numFmtId="164" fontId="67" fillId="0" borderId="15" xfId="44" applyFont="1" applyFill="1" applyBorder="1" applyAlignment="1">
      <alignment vertical="center" wrapText="1"/>
    </xf>
    <xf numFmtId="165" fontId="68" fillId="0" borderId="15" xfId="0" applyNumberFormat="1" applyFont="1" applyBorder="1" applyAlignment="1">
      <alignment horizontal="center" vertical="center" wrapText="1"/>
    </xf>
    <xf numFmtId="165" fontId="68" fillId="0" borderId="15" xfId="0" applyNumberFormat="1" applyFont="1" applyBorder="1" applyAlignment="1">
      <alignment vertical="center" wrapText="1"/>
    </xf>
    <xf numFmtId="165" fontId="67" fillId="0" borderId="15" xfId="0" applyNumberFormat="1" applyFont="1" applyBorder="1" applyAlignment="1">
      <alignment vertical="center" wrapText="1"/>
    </xf>
    <xf numFmtId="165" fontId="67" fillId="0" borderId="15" xfId="0" applyNumberFormat="1" applyFont="1" applyBorder="1" applyAlignment="1">
      <alignment horizontal="center" vertical="center" wrapText="1"/>
    </xf>
    <xf numFmtId="169" fontId="68" fillId="0" borderId="15" xfId="44" applyNumberFormat="1" applyFont="1" applyFill="1" applyBorder="1" applyAlignment="1">
      <alignment vertical="center" wrapText="1"/>
    </xf>
    <xf numFmtId="169" fontId="71" fillId="0" borderId="15" xfId="0" applyNumberFormat="1" applyFont="1" applyBorder="1" applyAlignment="1">
      <alignment vertical="center" wrapText="1"/>
    </xf>
    <xf numFmtId="177" fontId="68" fillId="0" borderId="15" xfId="0" applyNumberFormat="1" applyFont="1" applyBorder="1" applyAlignment="1">
      <alignment vertical="center" wrapText="1"/>
    </xf>
    <xf numFmtId="9" fontId="67" fillId="0" borderId="15" xfId="2" applyFont="1" applyFill="1" applyBorder="1" applyAlignment="1">
      <alignment vertical="center" wrapText="1"/>
    </xf>
    <xf numFmtId="164" fontId="68" fillId="0" borderId="15" xfId="0" applyNumberFormat="1" applyFont="1" applyBorder="1" applyAlignment="1">
      <alignment vertical="center" wrapText="1"/>
    </xf>
    <xf numFmtId="177" fontId="67" fillId="0" borderId="15" xfId="0" applyNumberFormat="1" applyFont="1" applyBorder="1" applyAlignment="1">
      <alignment vertical="center" wrapText="1"/>
    </xf>
    <xf numFmtId="164" fontId="67" fillId="0" borderId="15" xfId="0" applyNumberFormat="1" applyFont="1" applyBorder="1" applyAlignment="1">
      <alignment vertical="center" wrapText="1"/>
    </xf>
    <xf numFmtId="10" fontId="67" fillId="0" borderId="15" xfId="44" applyNumberFormat="1" applyFont="1" applyFill="1" applyBorder="1" applyAlignment="1">
      <alignment horizontal="center" vertical="center" wrapText="1"/>
    </xf>
    <xf numFmtId="0" fontId="40" fillId="0" borderId="16" xfId="0" applyFont="1" applyBorder="1" applyAlignment="1">
      <alignment vertical="center" wrapText="1"/>
    </xf>
    <xf numFmtId="165" fontId="40" fillId="34" borderId="37" xfId="0" applyNumberFormat="1" applyFont="1" applyFill="1" applyBorder="1" applyAlignment="1">
      <alignment horizontal="center" vertical="center" wrapText="1"/>
    </xf>
    <xf numFmtId="165" fontId="51" fillId="0" borderId="0" xfId="0" applyNumberFormat="1" applyFont="1" applyAlignment="1">
      <alignment horizontal="center" vertical="center" wrapText="1"/>
    </xf>
    <xf numFmtId="169" fontId="31" fillId="37" borderId="37" xfId="0" applyNumberFormat="1" applyFont="1" applyFill="1" applyBorder="1" applyAlignment="1">
      <alignment horizontal="center" vertical="center" wrapText="1"/>
    </xf>
    <xf numFmtId="0" fontId="31" fillId="37" borderId="37" xfId="0" applyFont="1" applyFill="1" applyBorder="1" applyAlignment="1">
      <alignment horizontal="center" vertical="center" wrapText="1"/>
    </xf>
    <xf numFmtId="0" fontId="45" fillId="58" borderId="15" xfId="0" applyFont="1" applyFill="1" applyBorder="1" applyAlignment="1">
      <alignment horizontal="center" vertical="center" wrapText="1"/>
    </xf>
    <xf numFmtId="165" fontId="40" fillId="43" borderId="15" xfId="0" applyNumberFormat="1" applyFont="1" applyFill="1" applyBorder="1" applyAlignment="1">
      <alignment horizontal="center" vertical="center" wrapText="1"/>
    </xf>
    <xf numFmtId="165" fontId="40" fillId="45" borderId="15" xfId="0" applyNumberFormat="1" applyFont="1" applyFill="1" applyBorder="1" applyAlignment="1">
      <alignment horizontal="center" vertical="center" wrapText="1"/>
    </xf>
    <xf numFmtId="165" fontId="40" fillId="60" borderId="15" xfId="0" applyNumberFormat="1" applyFont="1" applyFill="1" applyBorder="1" applyAlignment="1">
      <alignment horizontal="center" vertical="center" wrapText="1"/>
    </xf>
    <xf numFmtId="165" fontId="40" fillId="61" borderId="15" xfId="0" applyNumberFormat="1" applyFont="1" applyFill="1" applyBorder="1" applyAlignment="1">
      <alignment horizontal="center" vertical="center" wrapText="1"/>
    </xf>
    <xf numFmtId="165" fontId="40" fillId="62" borderId="15" xfId="0" applyNumberFormat="1" applyFont="1" applyFill="1" applyBorder="1" applyAlignment="1">
      <alignment horizontal="center" vertical="center" wrapText="1"/>
    </xf>
    <xf numFmtId="165" fontId="40" fillId="55" borderId="15" xfId="0" applyNumberFormat="1" applyFont="1" applyFill="1" applyBorder="1" applyAlignment="1">
      <alignment horizontal="center" vertical="center" wrapText="1"/>
    </xf>
    <xf numFmtId="0" fontId="40" fillId="35" borderId="15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51" fillId="0" borderId="16" xfId="0" applyFont="1" applyBorder="1" applyAlignment="1">
      <alignment vertical="center" wrapText="1"/>
    </xf>
    <xf numFmtId="165" fontId="40" fillId="43" borderId="37" xfId="0" applyNumberFormat="1" applyFont="1" applyFill="1" applyBorder="1" applyAlignment="1">
      <alignment horizontal="center" vertical="center" wrapText="1"/>
    </xf>
    <xf numFmtId="165" fontId="40" fillId="45" borderId="37" xfId="0" applyNumberFormat="1" applyFont="1" applyFill="1" applyBorder="1" applyAlignment="1">
      <alignment horizontal="center" vertical="center" wrapText="1"/>
    </xf>
    <xf numFmtId="165" fontId="40" fillId="60" borderId="37" xfId="0" applyNumberFormat="1" applyFont="1" applyFill="1" applyBorder="1" applyAlignment="1">
      <alignment horizontal="center" vertical="center" wrapText="1"/>
    </xf>
    <xf numFmtId="165" fontId="40" fillId="61" borderId="37" xfId="0" applyNumberFormat="1" applyFont="1" applyFill="1" applyBorder="1" applyAlignment="1">
      <alignment horizontal="center" vertical="center" wrapText="1"/>
    </xf>
    <xf numFmtId="165" fontId="40" fillId="62" borderId="37" xfId="0" applyNumberFormat="1" applyFont="1" applyFill="1" applyBorder="1" applyAlignment="1">
      <alignment horizontal="center" vertical="center" wrapText="1"/>
    </xf>
    <xf numFmtId="165" fontId="40" fillId="55" borderId="37" xfId="0" applyNumberFormat="1" applyFont="1" applyFill="1" applyBorder="1" applyAlignment="1">
      <alignment horizontal="center" vertical="center" wrapText="1"/>
    </xf>
    <xf numFmtId="0" fontId="40" fillId="35" borderId="37" xfId="0" applyFont="1" applyFill="1" applyBorder="1" applyAlignment="1">
      <alignment horizontal="center" vertical="center" wrapText="1"/>
    </xf>
    <xf numFmtId="0" fontId="40" fillId="34" borderId="37" xfId="0" applyFont="1" applyFill="1" applyBorder="1" applyAlignment="1">
      <alignment horizontal="center" vertical="center" wrapText="1"/>
    </xf>
    <xf numFmtId="165" fontId="40" fillId="37" borderId="37" xfId="0" applyNumberFormat="1" applyFont="1" applyFill="1" applyBorder="1" applyAlignment="1">
      <alignment horizontal="center" vertical="center" wrapText="1"/>
    </xf>
    <xf numFmtId="165" fontId="40" fillId="56" borderId="37" xfId="0" applyNumberFormat="1" applyFont="1" applyFill="1" applyBorder="1" applyAlignment="1">
      <alignment horizontal="center" vertical="center" wrapText="1"/>
    </xf>
    <xf numFmtId="165" fontId="51" fillId="0" borderId="37" xfId="0" applyNumberFormat="1" applyFont="1" applyBorder="1" applyAlignment="1">
      <alignment horizontal="center" vertical="center" wrapText="1"/>
    </xf>
    <xf numFmtId="165" fontId="40" fillId="0" borderId="37" xfId="0" applyNumberFormat="1" applyFont="1" applyBorder="1" applyAlignment="1">
      <alignment horizontal="center" vertical="center" wrapText="1"/>
    </xf>
    <xf numFmtId="9" fontId="51" fillId="0" borderId="37" xfId="2" applyFont="1" applyFill="1" applyBorder="1" applyAlignment="1">
      <alignment horizontal="center" vertical="center" wrapText="1"/>
    </xf>
    <xf numFmtId="10" fontId="72" fillId="0" borderId="37" xfId="0" applyNumberFormat="1" applyFont="1" applyBorder="1" applyAlignment="1">
      <alignment horizontal="center" vertical="center" wrapText="1"/>
    </xf>
    <xf numFmtId="166" fontId="72" fillId="0" borderId="37" xfId="0" applyNumberFormat="1" applyFont="1" applyBorder="1" applyAlignment="1">
      <alignment horizontal="center" vertical="center" wrapText="1"/>
    </xf>
    <xf numFmtId="166" fontId="74" fillId="0" borderId="37" xfId="0" applyNumberFormat="1" applyFont="1" applyBorder="1" applyAlignment="1">
      <alignment horizontal="center" vertical="center" wrapText="1"/>
    </xf>
    <xf numFmtId="0" fontId="73" fillId="0" borderId="15" xfId="0" applyFont="1" applyBorder="1" applyAlignment="1">
      <alignment horizontal="center" vertical="center" wrapText="1"/>
    </xf>
    <xf numFmtId="0" fontId="73" fillId="0" borderId="0" xfId="0" applyFont="1" applyAlignment="1">
      <alignment vertical="center" wrapText="1"/>
    </xf>
    <xf numFmtId="0" fontId="73" fillId="0" borderId="37" xfId="0" applyFont="1" applyBorder="1" applyAlignment="1">
      <alignment vertical="center" wrapText="1"/>
    </xf>
    <xf numFmtId="169" fontId="73" fillId="0" borderId="37" xfId="44" applyNumberFormat="1" applyFont="1" applyBorder="1" applyAlignment="1">
      <alignment vertical="center" wrapText="1"/>
    </xf>
    <xf numFmtId="0" fontId="73" fillId="0" borderId="37" xfId="0" applyFont="1" applyBorder="1" applyAlignment="1">
      <alignment horizontal="center" vertical="center" wrapText="1"/>
    </xf>
    <xf numFmtId="0" fontId="73" fillId="42" borderId="15" xfId="0" applyFont="1" applyFill="1" applyBorder="1" applyAlignment="1">
      <alignment horizontal="center" vertical="center" wrapText="1"/>
    </xf>
    <xf numFmtId="0" fontId="73" fillId="0" borderId="16" xfId="0" applyFont="1" applyBorder="1" applyAlignment="1">
      <alignment vertical="center" wrapText="1"/>
    </xf>
    <xf numFmtId="165" fontId="73" fillId="0" borderId="37" xfId="0" applyNumberFormat="1" applyFont="1" applyBorder="1" applyAlignment="1">
      <alignment horizontal="center" vertical="center" wrapText="1"/>
    </xf>
    <xf numFmtId="169" fontId="73" fillId="0" borderId="37" xfId="44" applyNumberFormat="1" applyFont="1" applyBorder="1" applyAlignment="1">
      <alignment horizontal="center" vertical="center" wrapText="1"/>
    </xf>
    <xf numFmtId="0" fontId="73" fillId="0" borderId="0" xfId="0" applyFont="1" applyAlignment="1">
      <alignment horizontal="center" vertical="center" wrapText="1"/>
    </xf>
    <xf numFmtId="165" fontId="58" fillId="0" borderId="15" xfId="0" applyNumberFormat="1" applyFont="1" applyBorder="1" applyAlignment="1">
      <alignment vertical="center" wrapText="1"/>
    </xf>
    <xf numFmtId="165" fontId="58" fillId="33" borderId="15" xfId="0" applyNumberFormat="1" applyFont="1" applyFill="1" applyBorder="1" applyAlignment="1">
      <alignment vertical="center" wrapText="1"/>
    </xf>
    <xf numFmtId="165" fontId="58" fillId="42" borderId="15" xfId="0" applyNumberFormat="1" applyFont="1" applyFill="1" applyBorder="1" applyAlignment="1">
      <alignment vertical="center" wrapText="1"/>
    </xf>
    <xf numFmtId="0" fontId="58" fillId="0" borderId="16" xfId="0" applyFont="1" applyBorder="1" applyAlignment="1">
      <alignment vertical="center" wrapText="1"/>
    </xf>
    <xf numFmtId="169" fontId="58" fillId="0" borderId="37" xfId="44" applyNumberFormat="1" applyFont="1" applyBorder="1" applyAlignment="1">
      <alignment vertical="center" wrapText="1"/>
    </xf>
    <xf numFmtId="0" fontId="58" fillId="0" borderId="0" xfId="0" applyFont="1" applyAlignment="1">
      <alignment vertical="center" wrapText="1"/>
    </xf>
    <xf numFmtId="165" fontId="58" fillId="0" borderId="37" xfId="0" applyNumberFormat="1" applyFont="1" applyBorder="1" applyAlignment="1">
      <alignment vertical="center" wrapText="1"/>
    </xf>
    <xf numFmtId="169" fontId="58" fillId="0" borderId="37" xfId="0" applyNumberFormat="1" applyFont="1" applyBorder="1" applyAlignment="1">
      <alignment vertical="center" wrapText="1"/>
    </xf>
    <xf numFmtId="164" fontId="58" fillId="0" borderId="37" xfId="0" applyNumberFormat="1" applyFont="1" applyBorder="1" applyAlignment="1">
      <alignment vertical="center" wrapText="1"/>
    </xf>
    <xf numFmtId="169" fontId="58" fillId="0" borderId="37" xfId="44" applyNumberFormat="1" applyFont="1" applyFill="1" applyBorder="1" applyAlignment="1">
      <alignment vertical="center" wrapText="1"/>
    </xf>
    <xf numFmtId="177" fontId="58" fillId="0" borderId="37" xfId="0" applyNumberFormat="1" applyFont="1" applyBorder="1" applyAlignment="1">
      <alignment vertical="center" wrapText="1"/>
    </xf>
    <xf numFmtId="165" fontId="51" fillId="0" borderId="15" xfId="0" applyNumberFormat="1" applyFont="1" applyBorder="1" applyAlignment="1">
      <alignment vertical="center" wrapText="1"/>
    </xf>
    <xf numFmtId="165" fontId="51" fillId="42" borderId="15" xfId="0" applyNumberFormat="1" applyFont="1" applyFill="1" applyBorder="1" applyAlignment="1">
      <alignment vertical="center" wrapText="1"/>
    </xf>
    <xf numFmtId="169" fontId="51" fillId="0" borderId="37" xfId="44" applyNumberFormat="1" applyFont="1" applyFill="1" applyBorder="1" applyAlignment="1">
      <alignment vertical="center" wrapText="1"/>
    </xf>
    <xf numFmtId="169" fontId="40" fillId="53" borderId="37" xfId="44" applyNumberFormat="1" applyFont="1" applyFill="1" applyBorder="1" applyAlignment="1">
      <alignment vertical="center" wrapText="1"/>
    </xf>
    <xf numFmtId="164" fontId="51" fillId="0" borderId="37" xfId="0" applyNumberFormat="1" applyFont="1" applyBorder="1" applyAlignment="1">
      <alignment vertical="center" wrapText="1"/>
    </xf>
    <xf numFmtId="177" fontId="51" fillId="0" borderId="37" xfId="0" applyNumberFormat="1" applyFont="1" applyBorder="1" applyAlignment="1">
      <alignment vertical="center" wrapText="1"/>
    </xf>
    <xf numFmtId="179" fontId="51" fillId="0" borderId="37" xfId="0" applyNumberFormat="1" applyFont="1" applyBorder="1" applyAlignment="1">
      <alignment vertical="center" wrapText="1"/>
    </xf>
    <xf numFmtId="169" fontId="51" fillId="0" borderId="0" xfId="44" applyNumberFormat="1" applyFont="1" applyBorder="1" applyAlignment="1">
      <alignment vertical="center" wrapText="1"/>
    </xf>
    <xf numFmtId="169" fontId="51" fillId="0" borderId="0" xfId="44" applyNumberFormat="1" applyFont="1" applyAlignment="1">
      <alignment vertical="center" wrapText="1"/>
    </xf>
    <xf numFmtId="9" fontId="51" fillId="0" borderId="0" xfId="2" applyFont="1" applyAlignment="1">
      <alignment horizontal="center" vertical="center" wrapText="1"/>
    </xf>
    <xf numFmtId="9" fontId="51" fillId="0" borderId="0" xfId="2" applyFont="1" applyAlignment="1">
      <alignment vertical="center" wrapText="1"/>
    </xf>
    <xf numFmtId="164" fontId="51" fillId="0" borderId="0" xfId="44" applyFont="1" applyAlignment="1">
      <alignment vertical="center" wrapText="1"/>
    </xf>
    <xf numFmtId="165" fontId="51" fillId="45" borderId="37" xfId="0" applyNumberFormat="1" applyFont="1" applyFill="1" applyBorder="1" applyAlignment="1">
      <alignment horizontal="center" vertical="center" wrapText="1"/>
    </xf>
    <xf numFmtId="165" fontId="51" fillId="47" borderId="37" xfId="0" applyNumberFormat="1" applyFont="1" applyFill="1" applyBorder="1" applyAlignment="1">
      <alignment horizontal="center" vertical="center" wrapText="1"/>
    </xf>
    <xf numFmtId="165" fontId="51" fillId="44" borderId="37" xfId="0" applyNumberFormat="1" applyFont="1" applyFill="1" applyBorder="1" applyAlignment="1">
      <alignment horizontal="center" vertical="center" wrapText="1"/>
    </xf>
    <xf numFmtId="165" fontId="51" fillId="39" borderId="37" xfId="0" applyNumberFormat="1" applyFont="1" applyFill="1" applyBorder="1" applyAlignment="1">
      <alignment horizontal="center" vertical="center" wrapText="1"/>
    </xf>
    <xf numFmtId="165" fontId="51" fillId="50" borderId="37" xfId="0" applyNumberFormat="1" applyFont="1" applyFill="1" applyBorder="1" applyAlignment="1">
      <alignment horizontal="center" vertical="center" wrapText="1"/>
    </xf>
    <xf numFmtId="165" fontId="51" fillId="55" borderId="37" xfId="0" applyNumberFormat="1" applyFont="1" applyFill="1" applyBorder="1" applyAlignment="1">
      <alignment horizontal="center" vertical="center" wrapText="1"/>
    </xf>
    <xf numFmtId="165" fontId="51" fillId="34" borderId="37" xfId="0" applyNumberFormat="1" applyFont="1" applyFill="1" applyBorder="1" applyAlignment="1">
      <alignment horizontal="center" vertical="center" wrapText="1"/>
    </xf>
    <xf numFmtId="169" fontId="40" fillId="0" borderId="37" xfId="0" applyNumberFormat="1" applyFont="1" applyBorder="1" applyAlignment="1">
      <alignment vertical="center" wrapText="1"/>
    </xf>
    <xf numFmtId="165" fontId="45" fillId="36" borderId="37" xfId="0" applyNumberFormat="1" applyFont="1" applyFill="1" applyBorder="1" applyAlignment="1">
      <alignment horizontal="center" vertical="center" wrapText="1"/>
    </xf>
    <xf numFmtId="165" fontId="51" fillId="66" borderId="62" xfId="0" applyNumberFormat="1" applyFont="1" applyFill="1" applyBorder="1" applyAlignment="1">
      <alignment horizontal="center" vertical="center" wrapText="1"/>
    </xf>
    <xf numFmtId="165" fontId="51" fillId="0" borderId="62" xfId="0" applyNumberFormat="1" applyFont="1" applyBorder="1" applyAlignment="1">
      <alignment horizontal="center" vertical="center" wrapText="1"/>
    </xf>
    <xf numFmtId="0" fontId="73" fillId="0" borderId="62" xfId="0" applyFont="1" applyBorder="1" applyAlignment="1">
      <alignment vertical="center" wrapText="1"/>
    </xf>
    <xf numFmtId="0" fontId="73" fillId="0" borderId="61" xfId="0" applyFont="1" applyBorder="1" applyAlignment="1">
      <alignment vertical="center" wrapText="1"/>
    </xf>
    <xf numFmtId="0" fontId="73" fillId="0" borderId="61" xfId="0" applyFont="1" applyBorder="1" applyAlignment="1">
      <alignment horizontal="center" vertical="center" wrapText="1"/>
    </xf>
    <xf numFmtId="165" fontId="58" fillId="0" borderId="62" xfId="0" applyNumberFormat="1" applyFont="1" applyBorder="1" applyAlignment="1">
      <alignment vertical="center" wrapText="1"/>
    </xf>
    <xf numFmtId="165" fontId="58" fillId="0" borderId="61" xfId="0" applyNumberFormat="1" applyFont="1" applyBorder="1" applyAlignment="1">
      <alignment vertical="center" wrapText="1"/>
    </xf>
    <xf numFmtId="0" fontId="45" fillId="0" borderId="16" xfId="0" applyFont="1" applyBorder="1" applyAlignment="1">
      <alignment horizontal="center" vertical="center" wrapText="1"/>
    </xf>
    <xf numFmtId="0" fontId="73" fillId="0" borderId="16" xfId="0" applyFont="1" applyBorder="1" applyAlignment="1">
      <alignment horizontal="center" vertical="center" wrapText="1"/>
    </xf>
    <xf numFmtId="0" fontId="58" fillId="0" borderId="16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40" fillId="0" borderId="99" xfId="0" applyFont="1" applyBorder="1" applyAlignment="1">
      <alignment vertical="center" wrapText="1"/>
    </xf>
    <xf numFmtId="9" fontId="31" fillId="37" borderId="61" xfId="2" applyFont="1" applyFill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165" fontId="40" fillId="0" borderId="0" xfId="0" applyNumberFormat="1" applyFont="1" applyAlignment="1">
      <alignment horizontal="center" vertical="center" wrapText="1"/>
    </xf>
    <xf numFmtId="165" fontId="40" fillId="0" borderId="61" xfId="0" applyNumberFormat="1" applyFont="1" applyBorder="1" applyAlignment="1">
      <alignment horizontal="center" vertical="center" wrapText="1"/>
    </xf>
    <xf numFmtId="0" fontId="73" fillId="0" borderId="32" xfId="0" applyFont="1" applyBorder="1" applyAlignment="1">
      <alignment vertical="center" wrapText="1"/>
    </xf>
    <xf numFmtId="0" fontId="73" fillId="0" borderId="38" xfId="0" applyFont="1" applyBorder="1" applyAlignment="1">
      <alignment horizontal="center" vertical="center" wrapText="1"/>
    </xf>
    <xf numFmtId="9" fontId="73" fillId="0" borderId="61" xfId="2" applyFont="1" applyFill="1" applyBorder="1" applyAlignment="1">
      <alignment horizontal="center" vertical="center" wrapText="1"/>
    </xf>
    <xf numFmtId="165" fontId="58" fillId="0" borderId="38" xfId="0" applyNumberFormat="1" applyFont="1" applyBorder="1" applyAlignment="1">
      <alignment vertical="center" wrapText="1"/>
    </xf>
    <xf numFmtId="165" fontId="51" fillId="0" borderId="38" xfId="0" applyNumberFormat="1" applyFont="1" applyBorder="1" applyAlignment="1">
      <alignment vertical="center" wrapText="1"/>
    </xf>
    <xf numFmtId="9" fontId="51" fillId="0" borderId="61" xfId="2" applyFont="1" applyFill="1" applyBorder="1" applyAlignment="1">
      <alignment horizontal="center" vertical="center" wrapText="1"/>
    </xf>
    <xf numFmtId="165" fontId="51" fillId="0" borderId="40" xfId="0" applyNumberFormat="1" applyFont="1" applyBorder="1" applyAlignment="1">
      <alignment vertical="center" wrapText="1"/>
    </xf>
    <xf numFmtId="165" fontId="51" fillId="0" borderId="47" xfId="0" applyNumberFormat="1" applyFont="1" applyBorder="1" applyAlignment="1">
      <alignment vertical="center" wrapText="1"/>
    </xf>
    <xf numFmtId="165" fontId="51" fillId="42" borderId="47" xfId="0" applyNumberFormat="1" applyFont="1" applyFill="1" applyBorder="1" applyAlignment="1">
      <alignment vertical="center" wrapText="1"/>
    </xf>
    <xf numFmtId="0" fontId="51" fillId="0" borderId="100" xfId="0" applyFont="1" applyBorder="1" applyAlignment="1">
      <alignment vertical="center" wrapText="1"/>
    </xf>
    <xf numFmtId="169" fontId="40" fillId="0" borderId="63" xfId="0" applyNumberFormat="1" applyFont="1" applyBorder="1" applyAlignment="1">
      <alignment vertical="center" wrapText="1"/>
    </xf>
    <xf numFmtId="9" fontId="51" fillId="0" borderId="64" xfId="2" applyFont="1" applyFill="1" applyBorder="1" applyAlignment="1">
      <alignment horizontal="center" vertical="center" wrapText="1"/>
    </xf>
    <xf numFmtId="166" fontId="73" fillId="0" borderId="61" xfId="0" applyNumberFormat="1" applyFont="1" applyBorder="1" applyAlignment="1">
      <alignment horizontal="center" vertical="center" wrapText="1"/>
    </xf>
    <xf numFmtId="169" fontId="73" fillId="0" borderId="62" xfId="44" applyNumberFormat="1" applyFont="1" applyBorder="1" applyAlignment="1">
      <alignment vertical="center" wrapText="1"/>
    </xf>
    <xf numFmtId="169" fontId="73" fillId="0" borderId="62" xfId="44" applyNumberFormat="1" applyFont="1" applyBorder="1" applyAlignment="1">
      <alignment horizontal="center" vertical="center" wrapText="1"/>
    </xf>
    <xf numFmtId="169" fontId="51" fillId="0" borderId="62" xfId="44" applyNumberFormat="1" applyFont="1" applyBorder="1" applyAlignment="1">
      <alignment vertical="center" wrapText="1"/>
    </xf>
    <xf numFmtId="166" fontId="57" fillId="0" borderId="61" xfId="2" applyNumberFormat="1" applyFont="1" applyBorder="1" applyAlignment="1">
      <alignment horizontal="center" vertical="center" wrapText="1"/>
    </xf>
    <xf numFmtId="169" fontId="51" fillId="0" borderId="70" xfId="44" applyNumberFormat="1" applyFont="1" applyBorder="1" applyAlignment="1">
      <alignment vertical="center" wrapText="1"/>
    </xf>
    <xf numFmtId="169" fontId="40" fillId="0" borderId="63" xfId="44" applyNumberFormat="1" applyFont="1" applyBorder="1" applyAlignment="1">
      <alignment vertical="center" wrapText="1"/>
    </xf>
    <xf numFmtId="169" fontId="51" fillId="0" borderId="63" xfId="44" applyNumberFormat="1" applyFont="1" applyFill="1" applyBorder="1" applyAlignment="1">
      <alignment vertical="center" wrapText="1"/>
    </xf>
    <xf numFmtId="169" fontId="40" fillId="53" borderId="63" xfId="44" applyNumberFormat="1" applyFont="1" applyFill="1" applyBorder="1" applyAlignment="1">
      <alignment vertical="center" wrapText="1"/>
    </xf>
    <xf numFmtId="166" fontId="57" fillId="0" borderId="64" xfId="2" applyNumberFormat="1" applyFont="1" applyBorder="1" applyAlignment="1">
      <alignment horizontal="center" vertical="center" wrapText="1"/>
    </xf>
    <xf numFmtId="10" fontId="72" fillId="0" borderId="62" xfId="0" applyNumberFormat="1" applyFont="1" applyBorder="1" applyAlignment="1">
      <alignment horizontal="center" vertical="center" wrapText="1"/>
    </xf>
    <xf numFmtId="0" fontId="73" fillId="0" borderId="62" xfId="0" applyFont="1" applyBorder="1" applyAlignment="1">
      <alignment horizontal="center" vertical="center" wrapText="1"/>
    </xf>
    <xf numFmtId="169" fontId="58" fillId="0" borderId="62" xfId="0" applyNumberFormat="1" applyFont="1" applyBorder="1" applyAlignment="1">
      <alignment vertical="center" wrapText="1"/>
    </xf>
    <xf numFmtId="9" fontId="58" fillId="0" borderId="61" xfId="2" applyFont="1" applyBorder="1" applyAlignment="1">
      <alignment horizontal="center" vertical="center" wrapText="1"/>
    </xf>
    <xf numFmtId="169" fontId="51" fillId="0" borderId="62" xfId="0" applyNumberFormat="1" applyFont="1" applyBorder="1" applyAlignment="1">
      <alignment vertical="center" wrapText="1"/>
    </xf>
    <xf numFmtId="9" fontId="57" fillId="0" borderId="61" xfId="2" applyFont="1" applyBorder="1" applyAlignment="1">
      <alignment horizontal="center" vertical="center" wrapText="1"/>
    </xf>
    <xf numFmtId="169" fontId="51" fillId="0" borderId="70" xfId="0" applyNumberFormat="1" applyFont="1" applyBorder="1" applyAlignment="1">
      <alignment vertical="center" wrapText="1"/>
    </xf>
    <xf numFmtId="164" fontId="51" fillId="0" borderId="63" xfId="0" applyNumberFormat="1" applyFont="1" applyBorder="1" applyAlignment="1">
      <alignment vertical="center" wrapText="1"/>
    </xf>
    <xf numFmtId="177" fontId="51" fillId="0" borderId="63" xfId="0" applyNumberFormat="1" applyFont="1" applyBorder="1" applyAlignment="1">
      <alignment vertical="center" wrapText="1"/>
    </xf>
    <xf numFmtId="9" fontId="57" fillId="0" borderId="64" xfId="2" applyFont="1" applyBorder="1" applyAlignment="1">
      <alignment horizontal="center" vertical="center" wrapText="1"/>
    </xf>
    <xf numFmtId="164" fontId="58" fillId="0" borderId="57" xfId="0" applyNumberFormat="1" applyFont="1" applyBorder="1" applyAlignment="1">
      <alignment vertical="center" wrapText="1"/>
    </xf>
    <xf numFmtId="9" fontId="58" fillId="0" borderId="86" xfId="2" applyFont="1" applyBorder="1" applyAlignment="1">
      <alignment horizontal="center" vertical="center" wrapText="1"/>
    </xf>
    <xf numFmtId="0" fontId="73" fillId="0" borderId="84" xfId="0" applyFont="1" applyBorder="1" applyAlignment="1">
      <alignment vertical="center" wrapText="1"/>
    </xf>
    <xf numFmtId="177" fontId="51" fillId="0" borderId="88" xfId="0" applyNumberFormat="1" applyFont="1" applyBorder="1" applyAlignment="1">
      <alignment vertical="center" wrapText="1"/>
    </xf>
    <xf numFmtId="169" fontId="58" fillId="0" borderId="57" xfId="44" applyNumberFormat="1" applyFont="1" applyBorder="1" applyAlignment="1">
      <alignment vertical="center" wrapText="1"/>
    </xf>
    <xf numFmtId="9" fontId="57" fillId="0" borderId="86" xfId="2" applyFont="1" applyFill="1" applyBorder="1" applyAlignment="1">
      <alignment horizontal="center" vertical="center" wrapText="1"/>
    </xf>
    <xf numFmtId="165" fontId="73" fillId="0" borderId="84" xfId="0" applyNumberFormat="1" applyFont="1" applyBorder="1" applyAlignment="1">
      <alignment horizontal="center" vertical="center" wrapText="1"/>
    </xf>
    <xf numFmtId="169" fontId="40" fillId="0" borderId="88" xfId="0" applyNumberFormat="1" applyFont="1" applyBorder="1" applyAlignment="1">
      <alignment vertical="center" wrapText="1"/>
    </xf>
    <xf numFmtId="169" fontId="75" fillId="33" borderId="48" xfId="0" applyNumberFormat="1" applyFont="1" applyFill="1" applyBorder="1" applyAlignment="1">
      <alignment vertical="center" wrapText="1"/>
    </xf>
    <xf numFmtId="169" fontId="58" fillId="0" borderId="57" xfId="0" applyNumberFormat="1" applyFont="1" applyBorder="1" applyAlignment="1">
      <alignment vertical="center" wrapText="1"/>
    </xf>
    <xf numFmtId="166" fontId="58" fillId="0" borderId="86" xfId="2" applyNumberFormat="1" applyFont="1" applyBorder="1" applyAlignment="1">
      <alignment horizontal="center" vertical="center" wrapText="1"/>
    </xf>
    <xf numFmtId="169" fontId="73" fillId="0" borderId="84" xfId="44" applyNumberFormat="1" applyFont="1" applyBorder="1" applyAlignment="1">
      <alignment horizontal="center" vertical="center" wrapText="1"/>
    </xf>
    <xf numFmtId="169" fontId="40" fillId="53" borderId="88" xfId="44" applyNumberFormat="1" applyFont="1" applyFill="1" applyBorder="1" applyAlignment="1">
      <alignment vertical="center" wrapText="1"/>
    </xf>
    <xf numFmtId="165" fontId="75" fillId="33" borderId="48" xfId="0" applyNumberFormat="1" applyFont="1" applyFill="1" applyBorder="1" applyAlignment="1">
      <alignment vertical="center" wrapText="1"/>
    </xf>
    <xf numFmtId="177" fontId="75" fillId="33" borderId="48" xfId="0" applyNumberFormat="1" applyFont="1" applyFill="1" applyBorder="1" applyAlignment="1">
      <alignment vertical="center" wrapText="1"/>
    </xf>
    <xf numFmtId="0" fontId="40" fillId="0" borderId="56" xfId="0" applyFont="1" applyBorder="1" applyAlignment="1">
      <alignment horizontal="center" vertical="center" wrapText="1"/>
    </xf>
    <xf numFmtId="0" fontId="51" fillId="0" borderId="56" xfId="0" applyFont="1" applyBorder="1" applyAlignment="1">
      <alignment vertical="center" wrapText="1"/>
    </xf>
    <xf numFmtId="0" fontId="73" fillId="0" borderId="56" xfId="0" applyFont="1" applyBorder="1" applyAlignment="1">
      <alignment vertical="center" wrapText="1"/>
    </xf>
    <xf numFmtId="9" fontId="57" fillId="0" borderId="56" xfId="2" applyFont="1" applyFill="1" applyBorder="1" applyAlignment="1">
      <alignment horizontal="center" vertical="center" wrapText="1"/>
    </xf>
    <xf numFmtId="0" fontId="51" fillId="0" borderId="66" xfId="0" applyFont="1" applyBorder="1" applyAlignment="1">
      <alignment vertical="center" wrapText="1"/>
    </xf>
    <xf numFmtId="0" fontId="73" fillId="0" borderId="66" xfId="0" applyFont="1" applyBorder="1" applyAlignment="1">
      <alignment vertical="center" wrapText="1"/>
    </xf>
    <xf numFmtId="169" fontId="58" fillId="0" borderId="66" xfId="44" applyNumberFormat="1" applyFont="1" applyBorder="1" applyAlignment="1">
      <alignment vertical="center" wrapText="1"/>
    </xf>
    <xf numFmtId="169" fontId="51" fillId="0" borderId="66" xfId="0" applyNumberFormat="1" applyFont="1" applyBorder="1" applyAlignment="1">
      <alignment vertical="center" wrapText="1"/>
    </xf>
    <xf numFmtId="169" fontId="51" fillId="0" borderId="67" xfId="0" applyNumberFormat="1" applyFont="1" applyBorder="1" applyAlignment="1">
      <alignment vertical="center" wrapText="1"/>
    </xf>
    <xf numFmtId="177" fontId="58" fillId="0" borderId="57" xfId="0" applyNumberFormat="1" applyFont="1" applyBorder="1" applyAlignment="1">
      <alignment vertical="center" wrapText="1"/>
    </xf>
    <xf numFmtId="179" fontId="51" fillId="0" borderId="88" xfId="0" applyNumberFormat="1" applyFont="1" applyBorder="1" applyAlignment="1">
      <alignment vertical="center" wrapText="1"/>
    </xf>
    <xf numFmtId="169" fontId="58" fillId="0" borderId="56" xfId="44" applyNumberFormat="1" applyFont="1" applyFill="1" applyBorder="1" applyAlignment="1">
      <alignment vertical="center" wrapText="1"/>
    </xf>
    <xf numFmtId="169" fontId="51" fillId="0" borderId="56" xfId="0" applyNumberFormat="1" applyFont="1" applyBorder="1" applyAlignment="1">
      <alignment vertical="center" wrapText="1"/>
    </xf>
    <xf numFmtId="166" fontId="72" fillId="0" borderId="62" xfId="0" applyNumberFormat="1" applyFont="1" applyBorder="1" applyAlignment="1">
      <alignment horizontal="center" vertical="center" wrapText="1"/>
    </xf>
    <xf numFmtId="9" fontId="51" fillId="0" borderId="61" xfId="2" applyFont="1" applyFill="1" applyBorder="1" applyAlignment="1">
      <alignment vertical="center" wrapText="1"/>
    </xf>
    <xf numFmtId="9" fontId="73" fillId="0" borderId="61" xfId="2" applyFont="1" applyBorder="1" applyAlignment="1">
      <alignment vertical="center" wrapText="1"/>
    </xf>
    <xf numFmtId="177" fontId="58" fillId="0" borderId="62" xfId="0" applyNumberFormat="1" applyFont="1" applyBorder="1" applyAlignment="1">
      <alignment vertical="center" wrapText="1"/>
    </xf>
    <xf numFmtId="166" fontId="40" fillId="0" borderId="86" xfId="2" applyNumberFormat="1" applyFont="1" applyBorder="1" applyAlignment="1">
      <alignment horizontal="center" vertical="center" wrapText="1"/>
    </xf>
    <xf numFmtId="179" fontId="51" fillId="0" borderId="62" xfId="0" applyNumberFormat="1" applyFont="1" applyBorder="1" applyAlignment="1">
      <alignment vertical="center" wrapText="1"/>
    </xf>
    <xf numFmtId="179" fontId="51" fillId="0" borderId="70" xfId="0" applyNumberFormat="1" applyFont="1" applyBorder="1" applyAlignment="1">
      <alignment vertical="center" wrapText="1"/>
    </xf>
    <xf numFmtId="179" fontId="51" fillId="0" borderId="63" xfId="0" applyNumberFormat="1" applyFont="1" applyBorder="1" applyAlignment="1">
      <alignment vertical="center" wrapText="1"/>
    </xf>
    <xf numFmtId="166" fontId="74" fillId="0" borderId="62" xfId="0" applyNumberFormat="1" applyFont="1" applyBorder="1" applyAlignment="1">
      <alignment horizontal="center" vertical="center" wrapText="1"/>
    </xf>
    <xf numFmtId="0" fontId="58" fillId="0" borderId="62" xfId="0" applyFont="1" applyBorder="1" applyAlignment="1">
      <alignment horizontal="center" vertical="center" wrapText="1"/>
    </xf>
    <xf numFmtId="0" fontId="58" fillId="0" borderId="61" xfId="0" applyFont="1" applyBorder="1" applyAlignment="1">
      <alignment vertical="center" wrapText="1"/>
    </xf>
    <xf numFmtId="9" fontId="51" fillId="0" borderId="62" xfId="0" applyNumberFormat="1" applyFont="1" applyBorder="1" applyAlignment="1">
      <alignment horizontal="center" vertical="center" wrapText="1"/>
    </xf>
    <xf numFmtId="9" fontId="51" fillId="0" borderId="70" xfId="0" applyNumberFormat="1" applyFont="1" applyBorder="1" applyAlignment="1">
      <alignment horizontal="center" vertical="center" wrapText="1"/>
    </xf>
    <xf numFmtId="0" fontId="58" fillId="0" borderId="62" xfId="0" applyFont="1" applyBorder="1" applyAlignment="1">
      <alignment vertical="center" wrapText="1"/>
    </xf>
    <xf numFmtId="169" fontId="51" fillId="0" borderId="61" xfId="0" applyNumberFormat="1" applyFont="1" applyBorder="1" applyAlignment="1">
      <alignment vertical="center" wrapText="1"/>
    </xf>
    <xf numFmtId="169" fontId="51" fillId="0" borderId="64" xfId="0" applyNumberFormat="1" applyFont="1" applyBorder="1" applyAlignment="1">
      <alignment vertical="center" wrapText="1"/>
    </xf>
    <xf numFmtId="10" fontId="13" fillId="36" borderId="15" xfId="2" applyNumberFormat="1" applyFont="1" applyFill="1" applyBorder="1" applyAlignment="1">
      <alignment horizontal="center" vertical="center"/>
    </xf>
    <xf numFmtId="0" fontId="45" fillId="36" borderId="49" xfId="0" applyFont="1" applyFill="1" applyBorder="1" applyAlignment="1">
      <alignment horizontal="centerContinuous" vertical="center" wrapText="1"/>
    </xf>
    <xf numFmtId="0" fontId="45" fillId="36" borderId="58" xfId="0" applyFont="1" applyFill="1" applyBorder="1" applyAlignment="1">
      <alignment horizontal="centerContinuous" vertical="center" wrapText="1"/>
    </xf>
    <xf numFmtId="0" fontId="45" fillId="36" borderId="105" xfId="0" applyFont="1" applyFill="1" applyBorder="1" applyAlignment="1">
      <alignment horizontal="centerContinuous" vertical="center" wrapText="1"/>
    </xf>
    <xf numFmtId="2" fontId="51" fillId="0" borderId="0" xfId="0" applyNumberFormat="1" applyFont="1" applyAlignment="1">
      <alignment horizontal="center" vertical="center" wrapText="1"/>
    </xf>
    <xf numFmtId="2" fontId="51" fillId="0" borderId="0" xfId="1" applyNumberFormat="1" applyFont="1" applyAlignment="1">
      <alignment horizontal="center" vertical="center" wrapText="1"/>
    </xf>
    <xf numFmtId="0" fontId="58" fillId="0" borderId="60" xfId="0" applyFont="1" applyBorder="1" applyAlignment="1">
      <alignment vertical="center" wrapText="1"/>
    </xf>
    <xf numFmtId="0" fontId="45" fillId="45" borderId="10" xfId="0" applyFont="1" applyFill="1" applyBorder="1" applyAlignment="1">
      <alignment horizontal="center" vertical="center" wrapText="1"/>
    </xf>
    <xf numFmtId="0" fontId="45" fillId="58" borderId="10" xfId="0" applyFont="1" applyFill="1" applyBorder="1" applyAlignment="1">
      <alignment horizontal="center" vertical="center" wrapText="1"/>
    </xf>
    <xf numFmtId="169" fontId="40" fillId="0" borderId="0" xfId="44" applyNumberFormat="1" applyFont="1" applyBorder="1" applyAlignment="1">
      <alignment horizontal="center" vertical="center" wrapText="1"/>
    </xf>
    <xf numFmtId="0" fontId="45" fillId="0" borderId="56" xfId="0" applyFont="1" applyBorder="1" applyAlignment="1">
      <alignment horizontal="center" vertical="center" wrapText="1"/>
    </xf>
    <xf numFmtId="0" fontId="45" fillId="58" borderId="37" xfId="0" applyFont="1" applyFill="1" applyBorder="1" applyAlignment="1">
      <alignment horizontal="center" vertical="center" wrapText="1"/>
    </xf>
    <xf numFmtId="169" fontId="45" fillId="45" borderId="51" xfId="44" applyNumberFormat="1" applyFont="1" applyFill="1" applyBorder="1" applyAlignment="1">
      <alignment horizontal="center" vertical="center" wrapText="1"/>
    </xf>
    <xf numFmtId="0" fontId="45" fillId="63" borderId="10" xfId="0" applyFont="1" applyFill="1" applyBorder="1" applyAlignment="1">
      <alignment horizontal="center" vertical="center" wrapText="1"/>
    </xf>
    <xf numFmtId="164" fontId="45" fillId="58" borderId="10" xfId="0" applyNumberFormat="1" applyFont="1" applyFill="1" applyBorder="1" applyAlignment="1">
      <alignment horizontal="center" vertical="center" wrapText="1"/>
    </xf>
    <xf numFmtId="0" fontId="45" fillId="63" borderId="12" xfId="0" applyFont="1" applyFill="1" applyBorder="1" applyAlignment="1">
      <alignment horizontal="center" vertical="center" wrapText="1"/>
    </xf>
    <xf numFmtId="0" fontId="51" fillId="0" borderId="51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52" xfId="0" applyFont="1" applyBorder="1" applyAlignment="1">
      <alignment horizontal="center" vertical="center" wrapText="1"/>
    </xf>
    <xf numFmtId="2" fontId="45" fillId="36" borderId="51" xfId="1" applyNumberFormat="1" applyFont="1" applyFill="1" applyBorder="1" applyAlignment="1">
      <alignment horizontal="center" vertical="center" wrapText="1"/>
    </xf>
    <xf numFmtId="169" fontId="45" fillId="36" borderId="10" xfId="44" applyNumberFormat="1" applyFont="1" applyFill="1" applyBorder="1" applyAlignment="1">
      <alignment horizontal="center" vertical="center" wrapText="1"/>
    </xf>
    <xf numFmtId="0" fontId="45" fillId="36" borderId="52" xfId="0" applyFont="1" applyFill="1" applyBorder="1" applyAlignment="1">
      <alignment horizontal="center" vertical="center" wrapText="1"/>
    </xf>
    <xf numFmtId="164" fontId="45" fillId="45" borderId="37" xfId="0" applyNumberFormat="1" applyFont="1" applyFill="1" applyBorder="1" applyAlignment="1">
      <alignment horizontal="center" vertical="center" wrapText="1"/>
    </xf>
    <xf numFmtId="0" fontId="57" fillId="0" borderId="0" xfId="0" applyFont="1" applyAlignment="1">
      <alignment vertical="center" wrapText="1"/>
    </xf>
    <xf numFmtId="0" fontId="45" fillId="0" borderId="37" xfId="0" applyFont="1" applyBorder="1" applyAlignment="1">
      <alignment horizontal="center" vertical="center" wrapText="1"/>
    </xf>
    <xf numFmtId="0" fontId="58" fillId="0" borderId="37" xfId="0" applyFont="1" applyBorder="1" applyAlignment="1">
      <alignment horizontal="center" vertical="center" wrapText="1"/>
    </xf>
    <xf numFmtId="166" fontId="40" fillId="0" borderId="37" xfId="2" applyNumberFormat="1" applyFont="1" applyBorder="1" applyAlignment="1">
      <alignment horizontal="center" vertical="center" wrapText="1"/>
    </xf>
    <xf numFmtId="165" fontId="40" fillId="0" borderId="0" xfId="0" applyNumberFormat="1" applyFont="1" applyAlignment="1">
      <alignment vertical="center" wrapText="1"/>
    </xf>
    <xf numFmtId="169" fontId="31" fillId="0" borderId="51" xfId="44" applyNumberFormat="1" applyFont="1" applyBorder="1" applyAlignment="1">
      <alignment vertical="center" wrapText="1"/>
    </xf>
    <xf numFmtId="0" fontId="51" fillId="0" borderId="10" xfId="0" applyFont="1" applyBorder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51" fillId="0" borderId="32" xfId="0" applyFont="1" applyBorder="1" applyAlignment="1">
      <alignment vertical="center" wrapText="1"/>
    </xf>
    <xf numFmtId="0" fontId="51" fillId="0" borderId="33" xfId="0" applyFont="1" applyBorder="1" applyAlignment="1">
      <alignment vertical="center" wrapText="1"/>
    </xf>
    <xf numFmtId="2" fontId="51" fillId="0" borderId="32" xfId="1" applyNumberFormat="1" applyFont="1" applyBorder="1" applyAlignment="1">
      <alignment horizontal="center" vertical="center" wrapText="1"/>
    </xf>
    <xf numFmtId="0" fontId="57" fillId="0" borderId="61" xfId="0" applyFont="1" applyBorder="1" applyAlignment="1">
      <alignment vertical="center" wrapText="1"/>
    </xf>
    <xf numFmtId="0" fontId="72" fillId="0" borderId="62" xfId="0" applyFont="1" applyBorder="1" applyAlignment="1">
      <alignment horizontal="center" vertical="center" wrapText="1"/>
    </xf>
    <xf numFmtId="165" fontId="72" fillId="0" borderId="37" xfId="0" applyNumberFormat="1" applyFont="1" applyBorder="1" applyAlignment="1">
      <alignment horizontal="center" vertical="center" wrapText="1"/>
    </xf>
    <xf numFmtId="166" fontId="72" fillId="0" borderId="37" xfId="2" applyNumberFormat="1" applyFont="1" applyBorder="1" applyAlignment="1">
      <alignment horizontal="center" vertical="center" wrapText="1"/>
    </xf>
    <xf numFmtId="0" fontId="72" fillId="0" borderId="37" xfId="0" applyFont="1" applyBorder="1" applyAlignment="1">
      <alignment horizontal="center" vertical="center" wrapText="1"/>
    </xf>
    <xf numFmtId="0" fontId="72" fillId="0" borderId="61" xfId="0" applyFont="1" applyBorder="1" applyAlignment="1">
      <alignment horizontal="center" vertical="center" wrapText="1"/>
    </xf>
    <xf numFmtId="0" fontId="72" fillId="0" borderId="0" xfId="0" applyFont="1" applyAlignment="1">
      <alignment horizontal="center" vertical="center" wrapText="1"/>
    </xf>
    <xf numFmtId="0" fontId="72" fillId="0" borderId="51" xfId="0" applyFont="1" applyBorder="1" applyAlignment="1">
      <alignment horizontal="center" vertical="center" wrapText="1"/>
    </xf>
    <xf numFmtId="0" fontId="72" fillId="0" borderId="103" xfId="0" applyFont="1" applyBorder="1" applyAlignment="1">
      <alignment horizontal="center" vertical="center" wrapText="1"/>
    </xf>
    <xf numFmtId="0" fontId="72" fillId="0" borderId="10" xfId="0" applyFont="1" applyBorder="1" applyAlignment="1">
      <alignment horizontal="center" vertical="center" wrapText="1"/>
    </xf>
    <xf numFmtId="2" fontId="72" fillId="0" borderId="0" xfId="0" applyNumberFormat="1" applyFont="1" applyAlignment="1">
      <alignment horizontal="center" vertical="center" wrapText="1"/>
    </xf>
    <xf numFmtId="0" fontId="72" fillId="0" borderId="32" xfId="0" applyFont="1" applyBorder="1" applyAlignment="1">
      <alignment horizontal="center" vertical="center" wrapText="1"/>
    </xf>
    <xf numFmtId="0" fontId="72" fillId="0" borderId="33" xfId="0" applyFont="1" applyBorder="1" applyAlignment="1">
      <alignment horizontal="center" vertical="center" wrapText="1"/>
    </xf>
    <xf numFmtId="2" fontId="72" fillId="0" borderId="32" xfId="1" applyNumberFormat="1" applyFont="1" applyBorder="1" applyAlignment="1">
      <alignment horizontal="center" vertical="center" wrapText="1"/>
    </xf>
    <xf numFmtId="169" fontId="72" fillId="0" borderId="0" xfId="44" applyNumberFormat="1" applyFont="1" applyBorder="1" applyAlignment="1">
      <alignment horizontal="center" vertical="center" wrapText="1"/>
    </xf>
    <xf numFmtId="0" fontId="57" fillId="0" borderId="61" xfId="0" applyFont="1" applyBorder="1" applyAlignment="1">
      <alignment horizontal="center" vertical="center" wrapText="1"/>
    </xf>
    <xf numFmtId="0" fontId="72" fillId="0" borderId="12" xfId="0" applyFont="1" applyBorder="1" applyAlignment="1">
      <alignment horizontal="center" vertical="center" wrapText="1"/>
    </xf>
    <xf numFmtId="177" fontId="40" fillId="34" borderId="37" xfId="0" applyNumberFormat="1" applyFont="1" applyFill="1" applyBorder="1" applyAlignment="1">
      <alignment vertical="center" wrapText="1"/>
    </xf>
    <xf numFmtId="169" fontId="40" fillId="0" borderId="51" xfId="0" applyNumberFormat="1" applyFont="1" applyBorder="1" applyAlignment="1">
      <alignment vertical="center" wrapText="1"/>
    </xf>
    <xf numFmtId="169" fontId="40" fillId="0" borderId="10" xfId="0" applyNumberFormat="1" applyFont="1" applyBorder="1" applyAlignment="1">
      <alignment vertical="center" wrapText="1"/>
    </xf>
    <xf numFmtId="169" fontId="40" fillId="59" borderId="10" xfId="0" applyNumberFormat="1" applyFont="1" applyFill="1" applyBorder="1" applyAlignment="1">
      <alignment vertical="center" wrapText="1"/>
    </xf>
    <xf numFmtId="178" fontId="40" fillId="59" borderId="12" xfId="0" applyNumberFormat="1" applyFont="1" applyFill="1" applyBorder="1" applyAlignment="1">
      <alignment vertical="center" wrapText="1"/>
    </xf>
    <xf numFmtId="2" fontId="40" fillId="0" borderId="0" xfId="0" applyNumberFormat="1" applyFont="1" applyAlignment="1">
      <alignment horizontal="center" vertical="center" wrapText="1"/>
    </xf>
    <xf numFmtId="0" fontId="40" fillId="0" borderId="32" xfId="0" applyFont="1" applyBorder="1" applyAlignment="1">
      <alignment horizontal="center" vertical="center" wrapText="1"/>
    </xf>
    <xf numFmtId="164" fontId="40" fillId="33" borderId="0" xfId="0" applyNumberFormat="1" applyFont="1" applyFill="1" applyAlignment="1">
      <alignment vertical="center" wrapText="1"/>
    </xf>
    <xf numFmtId="169" fontId="40" fillId="0" borderId="33" xfId="44" applyNumberFormat="1" applyFont="1" applyBorder="1" applyAlignment="1">
      <alignment vertical="center" wrapText="1"/>
    </xf>
    <xf numFmtId="2" fontId="40" fillId="0" borderId="32" xfId="1" applyNumberFormat="1" applyFont="1" applyBorder="1" applyAlignment="1">
      <alignment horizontal="center" vertical="center" wrapText="1"/>
    </xf>
    <xf numFmtId="169" fontId="40" fillId="0" borderId="0" xfId="44" applyNumberFormat="1" applyFont="1" applyBorder="1" applyAlignment="1">
      <alignment vertical="center" wrapText="1"/>
    </xf>
    <xf numFmtId="169" fontId="40" fillId="0" borderId="33" xfId="0" applyNumberFormat="1" applyFont="1" applyBorder="1" applyAlignment="1">
      <alignment vertical="center" wrapText="1"/>
    </xf>
    <xf numFmtId="169" fontId="40" fillId="0" borderId="0" xfId="0" applyNumberFormat="1" applyFont="1" applyAlignment="1">
      <alignment horizontal="center" vertical="center" wrapText="1"/>
    </xf>
    <xf numFmtId="169" fontId="40" fillId="0" borderId="0" xfId="0" applyNumberFormat="1" applyFont="1" applyAlignment="1">
      <alignment vertical="center" wrapText="1"/>
    </xf>
    <xf numFmtId="169" fontId="40" fillId="0" borderId="62" xfId="0" applyNumberFormat="1" applyFont="1" applyBorder="1" applyAlignment="1">
      <alignment horizontal="center" vertical="center" wrapText="1"/>
    </xf>
    <xf numFmtId="9" fontId="40" fillId="0" borderId="37" xfId="2" applyFont="1" applyBorder="1" applyAlignment="1">
      <alignment horizontal="center" vertical="center" wrapText="1"/>
    </xf>
    <xf numFmtId="169" fontId="58" fillId="0" borderId="61" xfId="0" applyNumberFormat="1" applyFont="1" applyBorder="1" applyAlignment="1">
      <alignment vertical="center" wrapText="1"/>
    </xf>
    <xf numFmtId="169" fontId="58" fillId="0" borderId="0" xfId="0" applyNumberFormat="1" applyFont="1" applyAlignment="1">
      <alignment vertical="center" wrapText="1"/>
    </xf>
    <xf numFmtId="166" fontId="51" fillId="0" borderId="37" xfId="2" applyNumberFormat="1" applyFont="1" applyBorder="1" applyAlignment="1">
      <alignment horizontal="center" vertical="center" wrapText="1"/>
    </xf>
    <xf numFmtId="177" fontId="51" fillId="34" borderId="37" xfId="44" applyNumberFormat="1" applyFont="1" applyFill="1" applyBorder="1" applyAlignment="1">
      <alignment vertical="center" wrapText="1"/>
    </xf>
    <xf numFmtId="166" fontId="51" fillId="0" borderId="61" xfId="2" applyNumberFormat="1" applyFont="1" applyBorder="1" applyAlignment="1">
      <alignment vertical="center" wrapText="1"/>
    </xf>
    <xf numFmtId="166" fontId="51" fillId="0" borderId="0" xfId="2" applyNumberFormat="1" applyFont="1" applyFill="1" applyBorder="1" applyAlignment="1">
      <alignment vertical="center" wrapText="1"/>
    </xf>
    <xf numFmtId="169" fontId="51" fillId="0" borderId="51" xfId="44" applyNumberFormat="1" applyFont="1" applyBorder="1" applyAlignment="1">
      <alignment vertical="center" wrapText="1"/>
    </xf>
    <xf numFmtId="169" fontId="51" fillId="0" borderId="10" xfId="44" applyNumberFormat="1" applyFont="1" applyBorder="1" applyAlignment="1">
      <alignment vertical="center" wrapText="1"/>
    </xf>
    <xf numFmtId="169" fontId="51" fillId="0" borderId="10" xfId="0" applyNumberFormat="1" applyFont="1" applyBorder="1" applyAlignment="1">
      <alignment vertical="center" wrapText="1"/>
    </xf>
    <xf numFmtId="169" fontId="51" fillId="0" borderId="12" xfId="0" applyNumberFormat="1" applyFont="1" applyBorder="1" applyAlignment="1">
      <alignment vertical="center" wrapText="1"/>
    </xf>
    <xf numFmtId="2" fontId="51" fillId="0" borderId="32" xfId="0" applyNumberFormat="1" applyFont="1" applyBorder="1" applyAlignment="1">
      <alignment horizontal="center" vertical="center" wrapText="1"/>
    </xf>
    <xf numFmtId="164" fontId="51" fillId="0" borderId="0" xfId="0" applyNumberFormat="1" applyFont="1" applyAlignment="1">
      <alignment vertical="center" wrapText="1"/>
    </xf>
    <xf numFmtId="169" fontId="51" fillId="0" borderId="33" xfId="44" applyNumberFormat="1" applyFont="1" applyBorder="1" applyAlignment="1">
      <alignment vertical="center" wrapText="1"/>
    </xf>
    <xf numFmtId="169" fontId="51" fillId="0" borderId="33" xfId="0" applyNumberFormat="1" applyFont="1" applyBorder="1" applyAlignment="1">
      <alignment vertical="center" wrapText="1"/>
    </xf>
    <xf numFmtId="169" fontId="51" fillId="0" borderId="0" xfId="0" applyNumberFormat="1" applyFont="1" applyAlignment="1">
      <alignment horizontal="center" vertical="center" wrapText="1"/>
    </xf>
    <xf numFmtId="169" fontId="51" fillId="0" borderId="0" xfId="0" applyNumberFormat="1" applyFont="1" applyAlignment="1">
      <alignment vertical="center" wrapText="1"/>
    </xf>
    <xf numFmtId="9" fontId="51" fillId="0" borderId="37" xfId="2" applyFont="1" applyBorder="1" applyAlignment="1">
      <alignment horizontal="center" vertical="center" wrapText="1"/>
    </xf>
    <xf numFmtId="169" fontId="51" fillId="0" borderId="37" xfId="0" applyNumberFormat="1" applyFont="1" applyBorder="1" applyAlignment="1">
      <alignment vertical="center" wrapText="1"/>
    </xf>
    <xf numFmtId="169" fontId="57" fillId="0" borderId="61" xfId="0" applyNumberFormat="1" applyFont="1" applyBorder="1" applyAlignment="1">
      <alignment vertical="center" wrapText="1"/>
    </xf>
    <xf numFmtId="169" fontId="57" fillId="0" borderId="0" xfId="0" applyNumberFormat="1" applyFont="1" applyAlignment="1">
      <alignment vertical="center" wrapText="1"/>
    </xf>
    <xf numFmtId="0" fontId="51" fillId="0" borderId="70" xfId="0" applyFont="1" applyBorder="1" applyAlignment="1">
      <alignment horizontal="center" vertical="center" wrapText="1"/>
    </xf>
    <xf numFmtId="166" fontId="51" fillId="0" borderId="63" xfId="2" applyNumberFormat="1" applyFont="1" applyBorder="1" applyAlignment="1">
      <alignment horizontal="center" vertical="center" wrapText="1"/>
    </xf>
    <xf numFmtId="177" fontId="51" fillId="34" borderId="63" xfId="44" applyNumberFormat="1" applyFont="1" applyFill="1" applyBorder="1" applyAlignment="1">
      <alignment vertical="center" wrapText="1"/>
    </xf>
    <xf numFmtId="166" fontId="51" fillId="0" borderId="64" xfId="2" applyNumberFormat="1" applyFont="1" applyBorder="1" applyAlignment="1">
      <alignment vertical="center" wrapText="1"/>
    </xf>
    <xf numFmtId="169" fontId="51" fillId="0" borderId="53" xfId="44" applyNumberFormat="1" applyFont="1" applyBorder="1" applyAlignment="1">
      <alignment vertical="center" wrapText="1"/>
    </xf>
    <xf numFmtId="169" fontId="51" fillId="0" borderId="59" xfId="44" applyNumberFormat="1" applyFont="1" applyBorder="1" applyAlignment="1">
      <alignment vertical="center" wrapText="1"/>
    </xf>
    <xf numFmtId="169" fontId="51" fillId="0" borderId="59" xfId="0" applyNumberFormat="1" applyFont="1" applyBorder="1" applyAlignment="1">
      <alignment vertical="center" wrapText="1"/>
    </xf>
    <xf numFmtId="169" fontId="51" fillId="0" borderId="104" xfId="0" applyNumberFormat="1" applyFont="1" applyBorder="1" applyAlignment="1">
      <alignment vertical="center" wrapText="1"/>
    </xf>
    <xf numFmtId="2" fontId="51" fillId="0" borderId="34" xfId="0" applyNumberFormat="1" applyFont="1" applyBorder="1" applyAlignment="1">
      <alignment horizontal="center" vertical="center" wrapText="1"/>
    </xf>
    <xf numFmtId="164" fontId="51" fillId="0" borderId="35" xfId="0" applyNumberFormat="1" applyFont="1" applyBorder="1" applyAlignment="1">
      <alignment vertical="center" wrapText="1"/>
    </xf>
    <xf numFmtId="169" fontId="51" fillId="0" borderId="36" xfId="44" applyNumberFormat="1" applyFont="1" applyBorder="1" applyAlignment="1">
      <alignment vertical="center" wrapText="1"/>
    </xf>
    <xf numFmtId="2" fontId="40" fillId="0" borderId="34" xfId="1" applyNumberFormat="1" applyFont="1" applyBorder="1" applyAlignment="1">
      <alignment horizontal="center" vertical="center" wrapText="1"/>
    </xf>
    <xf numFmtId="169" fontId="51" fillId="0" borderId="35" xfId="44" applyNumberFormat="1" applyFont="1" applyBorder="1" applyAlignment="1">
      <alignment vertical="center" wrapText="1"/>
    </xf>
    <xf numFmtId="169" fontId="51" fillId="0" borderId="36" xfId="0" applyNumberFormat="1" applyFont="1" applyBorder="1" applyAlignment="1">
      <alignment vertical="center" wrapText="1"/>
    </xf>
    <xf numFmtId="9" fontId="51" fillId="0" borderId="63" xfId="2" applyFont="1" applyBorder="1" applyAlignment="1">
      <alignment horizontal="center" vertical="center" wrapText="1"/>
    </xf>
    <xf numFmtId="169" fontId="51" fillId="0" borderId="63" xfId="0" applyNumberFormat="1" applyFont="1" applyBorder="1" applyAlignment="1">
      <alignment vertical="center" wrapText="1"/>
    </xf>
    <xf numFmtId="169" fontId="57" fillId="0" borderId="64" xfId="0" applyNumberFormat="1" applyFont="1" applyBorder="1" applyAlignment="1">
      <alignment vertical="center" wrapText="1"/>
    </xf>
    <xf numFmtId="0" fontId="45" fillId="36" borderId="106" xfId="0" applyFont="1" applyFill="1" applyBorder="1" applyAlignment="1">
      <alignment horizontal="centerContinuous" vertical="center" wrapText="1"/>
    </xf>
    <xf numFmtId="169" fontId="40" fillId="0" borderId="37" xfId="0" applyNumberFormat="1" applyFont="1" applyBorder="1" applyAlignment="1">
      <alignment horizontal="center" vertical="center" wrapText="1"/>
    </xf>
    <xf numFmtId="0" fontId="51" fillId="0" borderId="110" xfId="0" applyFont="1" applyBorder="1" applyAlignment="1">
      <alignment vertical="center" wrapText="1"/>
    </xf>
    <xf numFmtId="2" fontId="51" fillId="0" borderId="111" xfId="0" applyNumberFormat="1" applyFont="1" applyBorder="1" applyAlignment="1">
      <alignment horizontal="center" vertical="center" wrapText="1"/>
    </xf>
    <xf numFmtId="0" fontId="72" fillId="0" borderId="110" xfId="0" applyFont="1" applyBorder="1" applyAlignment="1">
      <alignment horizontal="center" vertical="center" wrapText="1"/>
    </xf>
    <xf numFmtId="2" fontId="72" fillId="0" borderId="111" xfId="0" applyNumberFormat="1" applyFont="1" applyBorder="1" applyAlignment="1">
      <alignment horizontal="center" vertical="center" wrapText="1"/>
    </xf>
    <xf numFmtId="2" fontId="40" fillId="33" borderId="111" xfId="0" applyNumberFormat="1" applyFont="1" applyFill="1" applyBorder="1" applyAlignment="1">
      <alignment horizontal="center" vertical="center" wrapText="1"/>
    </xf>
    <xf numFmtId="1" fontId="51" fillId="0" borderId="110" xfId="0" applyNumberFormat="1" applyFont="1" applyBorder="1" applyAlignment="1">
      <alignment horizontal="center" vertical="center" wrapText="1"/>
    </xf>
    <xf numFmtId="1" fontId="51" fillId="0" borderId="112" xfId="0" applyNumberFormat="1" applyFont="1" applyBorder="1" applyAlignment="1">
      <alignment horizontal="center" vertical="center" wrapText="1"/>
    </xf>
    <xf numFmtId="169" fontId="51" fillId="0" borderId="113" xfId="0" applyNumberFormat="1" applyFont="1" applyBorder="1" applyAlignment="1">
      <alignment vertical="center" wrapText="1"/>
    </xf>
    <xf numFmtId="177" fontId="51" fillId="0" borderId="113" xfId="0" applyNumberFormat="1" applyFont="1" applyBorder="1" applyAlignment="1">
      <alignment vertical="center" wrapText="1"/>
    </xf>
    <xf numFmtId="2" fontId="51" fillId="0" borderId="114" xfId="0" applyNumberFormat="1" applyFont="1" applyBorder="1" applyAlignment="1">
      <alignment horizontal="center" vertical="center" wrapText="1"/>
    </xf>
    <xf numFmtId="178" fontId="40" fillId="0" borderId="110" xfId="0" applyNumberFormat="1" applyFont="1" applyBorder="1" applyAlignment="1">
      <alignment vertical="center" wrapText="1"/>
    </xf>
    <xf numFmtId="0" fontId="45" fillId="0" borderId="115" xfId="0" applyFont="1" applyBorder="1" applyAlignment="1">
      <alignment horizontal="center" vertical="center" wrapText="1"/>
    </xf>
    <xf numFmtId="0" fontId="58" fillId="0" borderId="115" xfId="0" applyFont="1" applyBorder="1" applyAlignment="1">
      <alignment horizontal="center" vertical="center" wrapText="1"/>
    </xf>
    <xf numFmtId="2" fontId="40" fillId="0" borderId="37" xfId="1" applyNumberFormat="1" applyFont="1" applyBorder="1" applyAlignment="1">
      <alignment horizontal="center" vertical="center" wrapText="1"/>
    </xf>
    <xf numFmtId="2" fontId="51" fillId="0" borderId="37" xfId="1" applyNumberFormat="1" applyFont="1" applyBorder="1" applyAlignment="1">
      <alignment horizontal="center" vertical="center" wrapText="1"/>
    </xf>
    <xf numFmtId="169" fontId="40" fillId="0" borderId="62" xfId="0" applyNumberFormat="1" applyFont="1" applyBorder="1" applyAlignment="1">
      <alignment vertical="center" wrapText="1"/>
    </xf>
    <xf numFmtId="0" fontId="40" fillId="0" borderId="61" xfId="0" applyFont="1" applyBorder="1" applyAlignment="1">
      <alignment vertical="center" wrapText="1"/>
    </xf>
    <xf numFmtId="2" fontId="51" fillId="0" borderId="63" xfId="1" applyNumberFormat="1" applyFont="1" applyBorder="1" applyAlignment="1">
      <alignment horizontal="center" vertical="center" wrapText="1"/>
    </xf>
    <xf numFmtId="0" fontId="51" fillId="0" borderId="64" xfId="0" applyFont="1" applyBorder="1" applyAlignment="1">
      <alignment horizontal="center" vertical="center" wrapText="1"/>
    </xf>
    <xf numFmtId="169" fontId="45" fillId="45" borderId="37" xfId="44" applyNumberFormat="1" applyFont="1" applyFill="1" applyBorder="1" applyAlignment="1">
      <alignment horizontal="center" vertical="center" wrapText="1"/>
    </xf>
    <xf numFmtId="1" fontId="40" fillId="0" borderId="62" xfId="0" applyNumberFormat="1" applyFont="1" applyBorder="1" applyAlignment="1">
      <alignment horizontal="center" vertical="center" wrapText="1"/>
    </xf>
    <xf numFmtId="1" fontId="40" fillId="0" borderId="70" xfId="0" applyNumberFormat="1" applyFont="1" applyBorder="1" applyAlignment="1">
      <alignment horizontal="center" vertical="center" wrapText="1"/>
    </xf>
    <xf numFmtId="169" fontId="51" fillId="0" borderId="37" xfId="0" applyNumberFormat="1" applyFont="1" applyBorder="1" applyAlignment="1">
      <alignment horizontal="center" vertical="center" wrapText="1"/>
    </xf>
    <xf numFmtId="169" fontId="57" fillId="0" borderId="37" xfId="0" applyNumberFormat="1" applyFont="1" applyBorder="1" applyAlignment="1">
      <alignment vertical="center" wrapText="1"/>
    </xf>
    <xf numFmtId="0" fontId="45" fillId="0" borderId="71" xfId="0" applyFont="1" applyBorder="1" applyAlignment="1">
      <alignment horizontal="center" vertical="center" wrapText="1"/>
    </xf>
    <xf numFmtId="0" fontId="58" fillId="0" borderId="71" xfId="0" applyFont="1" applyBorder="1" applyAlignment="1">
      <alignment vertical="center" wrapText="1"/>
    </xf>
    <xf numFmtId="169" fontId="51" fillId="0" borderId="63" xfId="0" applyNumberFormat="1" applyFont="1" applyBorder="1" applyAlignment="1">
      <alignment horizontal="center" vertical="center" wrapText="1"/>
    </xf>
    <xf numFmtId="169" fontId="57" fillId="0" borderId="63" xfId="0" applyNumberFormat="1" applyFont="1" applyBorder="1" applyAlignment="1">
      <alignment vertical="center" wrapText="1"/>
    </xf>
    <xf numFmtId="0" fontId="57" fillId="0" borderId="86" xfId="0" applyFont="1" applyBorder="1" applyAlignment="1">
      <alignment vertical="center" wrapText="1"/>
    </xf>
    <xf numFmtId="0" fontId="57" fillId="0" borderId="86" xfId="0" applyFont="1" applyBorder="1" applyAlignment="1">
      <alignment horizontal="center" vertical="center" wrapText="1"/>
    </xf>
    <xf numFmtId="169" fontId="58" fillId="0" borderId="86" xfId="0" applyNumberFormat="1" applyFont="1" applyBorder="1" applyAlignment="1">
      <alignment vertical="center" wrapText="1"/>
    </xf>
    <xf numFmtId="169" fontId="57" fillId="0" borderId="86" xfId="0" applyNumberFormat="1" applyFont="1" applyBorder="1" applyAlignment="1">
      <alignment horizontal="center" vertical="center" wrapText="1"/>
    </xf>
    <xf numFmtId="169" fontId="57" fillId="0" borderId="116" xfId="0" applyNumberFormat="1" applyFont="1" applyBorder="1" applyAlignment="1">
      <alignment horizontal="center" vertical="center" wrapText="1"/>
    </xf>
    <xf numFmtId="177" fontId="75" fillId="33" borderId="37" xfId="0" applyNumberFormat="1" applyFont="1" applyFill="1" applyBorder="1" applyAlignment="1">
      <alignment vertical="center" wrapText="1"/>
    </xf>
    <xf numFmtId="169" fontId="1" fillId="0" borderId="15" xfId="44" applyNumberFormat="1" applyFont="1" applyFill="1" applyBorder="1" applyAlignment="1">
      <alignment horizontal="center" vertical="center"/>
    </xf>
    <xf numFmtId="0" fontId="43" fillId="0" borderId="15" xfId="0" applyFont="1" applyBorder="1" applyAlignment="1">
      <alignment vertical="center"/>
    </xf>
    <xf numFmtId="10" fontId="43" fillId="0" borderId="16" xfId="2" applyNumberFormat="1" applyFont="1" applyFill="1" applyBorder="1" applyAlignment="1">
      <alignment horizontal="center" vertical="center"/>
    </xf>
    <xf numFmtId="10" fontId="43" fillId="0" borderId="17" xfId="2" applyNumberFormat="1" applyFont="1" applyFill="1" applyBorder="1" applyAlignment="1">
      <alignment horizontal="center" vertical="center"/>
    </xf>
    <xf numFmtId="166" fontId="49" fillId="0" borderId="61" xfId="2" applyNumberFormat="1" applyFont="1" applyBorder="1" applyAlignment="1">
      <alignment horizontal="center" vertical="center"/>
    </xf>
    <xf numFmtId="177" fontId="40" fillId="33" borderId="37" xfId="0" applyNumberFormat="1" applyFont="1" applyFill="1" applyBorder="1" applyAlignment="1">
      <alignment horizontal="center" vertical="center"/>
    </xf>
    <xf numFmtId="177" fontId="51" fillId="0" borderId="63" xfId="0" applyNumberFormat="1" applyFont="1" applyBorder="1" applyAlignment="1">
      <alignment horizontal="center" vertical="center"/>
    </xf>
    <xf numFmtId="177" fontId="40" fillId="0" borderId="51" xfId="0" applyNumberFormat="1" applyFont="1" applyBorder="1" applyAlignment="1">
      <alignment vertical="center"/>
    </xf>
    <xf numFmtId="177" fontId="40" fillId="0" borderId="10" xfId="0" applyNumberFormat="1" applyFont="1" applyBorder="1" applyAlignment="1">
      <alignment vertical="center"/>
    </xf>
    <xf numFmtId="177" fontId="51" fillId="0" borderId="51" xfId="0" applyNumberFormat="1" applyFont="1" applyBorder="1" applyAlignment="1">
      <alignment vertical="center"/>
    </xf>
    <xf numFmtId="177" fontId="51" fillId="0" borderId="10" xfId="0" applyNumberFormat="1" applyFont="1" applyBorder="1" applyAlignment="1">
      <alignment vertical="center"/>
    </xf>
    <xf numFmtId="177" fontId="51" fillId="0" borderId="53" xfId="0" applyNumberFormat="1" applyFont="1" applyBorder="1" applyAlignment="1">
      <alignment vertical="center"/>
    </xf>
    <xf numFmtId="177" fontId="51" fillId="0" borderId="59" xfId="0" applyNumberFormat="1" applyFont="1" applyBorder="1" applyAlignment="1">
      <alignment vertical="center"/>
    </xf>
    <xf numFmtId="0" fontId="45" fillId="36" borderId="51" xfId="0" applyFont="1" applyFill="1" applyBorder="1" applyAlignment="1">
      <alignment horizontal="center" vertical="center" wrapText="1"/>
    </xf>
    <xf numFmtId="0" fontId="40" fillId="34" borderId="10" xfId="0" applyFont="1" applyFill="1" applyBorder="1" applyAlignment="1">
      <alignment horizontal="center" vertical="center" wrapText="1"/>
    </xf>
    <xf numFmtId="177" fontId="40" fillId="0" borderId="62" xfId="0" applyNumberFormat="1" applyFont="1" applyBorder="1" applyAlignment="1">
      <alignment horizontal="center" vertical="center"/>
    </xf>
    <xf numFmtId="177" fontId="51" fillId="0" borderId="62" xfId="0" applyNumberFormat="1" applyFont="1" applyBorder="1" applyAlignment="1">
      <alignment vertical="center"/>
    </xf>
    <xf numFmtId="177" fontId="51" fillId="0" borderId="70" xfId="0" applyNumberFormat="1" applyFont="1" applyBorder="1" applyAlignment="1">
      <alignment vertical="center"/>
    </xf>
    <xf numFmtId="177" fontId="51" fillId="0" borderId="63" xfId="0" applyNumberFormat="1" applyFont="1" applyBorder="1" applyAlignment="1">
      <alignment vertical="center"/>
    </xf>
    <xf numFmtId="177" fontId="40" fillId="0" borderId="37" xfId="1" applyNumberFormat="1" applyFont="1" applyBorder="1" applyAlignment="1">
      <alignment horizontal="center" vertical="center"/>
    </xf>
    <xf numFmtId="177" fontId="40" fillId="33" borderId="37" xfId="1" applyNumberFormat="1" applyFont="1" applyFill="1" applyBorder="1" applyAlignment="1">
      <alignment horizontal="center" vertical="center"/>
    </xf>
    <xf numFmtId="177" fontId="40" fillId="0" borderId="61" xfId="1" applyNumberFormat="1" applyFont="1" applyBorder="1" applyAlignment="1">
      <alignment horizontal="center" vertical="center"/>
    </xf>
    <xf numFmtId="177" fontId="51" fillId="0" borderId="37" xfId="1" applyNumberFormat="1" applyFont="1" applyBorder="1" applyAlignment="1">
      <alignment vertical="center"/>
    </xf>
    <xf numFmtId="177" fontId="51" fillId="0" borderId="61" xfId="1" applyNumberFormat="1" applyFont="1" applyBorder="1" applyAlignment="1">
      <alignment vertical="center"/>
    </xf>
    <xf numFmtId="177" fontId="51" fillId="0" borderId="63" xfId="1" applyNumberFormat="1" applyFont="1" applyBorder="1" applyAlignment="1">
      <alignment vertical="center"/>
    </xf>
    <xf numFmtId="177" fontId="51" fillId="0" borderId="64" xfId="1" applyNumberFormat="1" applyFont="1" applyBorder="1" applyAlignment="1">
      <alignment vertical="center"/>
    </xf>
    <xf numFmtId="43" fontId="51" fillId="0" borderId="0" xfId="0" applyNumberFormat="1" applyFont="1" applyAlignment="1">
      <alignment horizontal="center" vertical="center"/>
    </xf>
    <xf numFmtId="177" fontId="16" fillId="33" borderId="37" xfId="0" applyNumberFormat="1" applyFont="1" applyFill="1" applyBorder="1" applyAlignment="1">
      <alignment horizontal="center" vertical="center"/>
    </xf>
    <xf numFmtId="177" fontId="16" fillId="0" borderId="37" xfId="0" applyNumberFormat="1" applyFont="1" applyBorder="1" applyAlignment="1">
      <alignment horizontal="center" vertical="center"/>
    </xf>
    <xf numFmtId="177" fontId="16" fillId="0" borderId="61" xfId="0" applyNumberFormat="1" applyFont="1" applyBorder="1" applyAlignment="1">
      <alignment horizontal="center" vertical="center"/>
    </xf>
    <xf numFmtId="177" fontId="0" fillId="0" borderId="37" xfId="0" applyNumberFormat="1" applyBorder="1" applyAlignment="1">
      <alignment horizontal="center" vertical="center"/>
    </xf>
    <xf numFmtId="177" fontId="0" fillId="0" borderId="61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177" fontId="0" fillId="0" borderId="64" xfId="0" applyNumberFormat="1" applyBorder="1" applyAlignment="1">
      <alignment horizontal="center" vertical="center"/>
    </xf>
    <xf numFmtId="2" fontId="13" fillId="36" borderId="61" xfId="0" applyNumberFormat="1" applyFont="1" applyFill="1" applyBorder="1" applyAlignment="1">
      <alignment horizontal="center" vertical="center" wrapText="1"/>
    </xf>
    <xf numFmtId="177" fontId="16" fillId="0" borderId="62" xfId="0" applyNumberFormat="1" applyFont="1" applyBorder="1" applyAlignment="1">
      <alignment horizontal="center" vertical="center"/>
    </xf>
    <xf numFmtId="177" fontId="0" fillId="0" borderId="62" xfId="0" applyNumberFormat="1" applyBorder="1" applyAlignment="1">
      <alignment horizontal="center" vertical="center"/>
    </xf>
    <xf numFmtId="177" fontId="0" fillId="0" borderId="70" xfId="0" applyNumberFormat="1" applyBorder="1" applyAlignment="1">
      <alignment horizontal="center" vertical="center"/>
    </xf>
    <xf numFmtId="177" fontId="16" fillId="0" borderId="15" xfId="1" applyNumberFormat="1" applyFont="1" applyBorder="1" applyAlignment="1">
      <alignment horizontal="center" vertical="center"/>
    </xf>
    <xf numFmtId="177" fontId="0" fillId="0" borderId="15" xfId="1" applyNumberFormat="1" applyFont="1" applyBorder="1" applyAlignment="1">
      <alignment horizontal="center" vertical="center"/>
    </xf>
    <xf numFmtId="169" fontId="0" fillId="53" borderId="15" xfId="44" applyNumberFormat="1" applyFont="1" applyFill="1" applyBorder="1" applyAlignment="1">
      <alignment horizontal="center" vertical="center"/>
    </xf>
    <xf numFmtId="169" fontId="0" fillId="53" borderId="18" xfId="44" applyNumberFormat="1" applyFont="1" applyFill="1" applyBorder="1" applyAlignment="1">
      <alignment horizontal="center" vertical="center"/>
    </xf>
    <xf numFmtId="177" fontId="0" fillId="0" borderId="37" xfId="1" applyNumberFormat="1" applyFont="1" applyBorder="1" applyAlignment="1">
      <alignment horizontal="center" vertical="center"/>
    </xf>
    <xf numFmtId="177" fontId="16" fillId="0" borderId="37" xfId="1" applyNumberFormat="1" applyFont="1" applyBorder="1" applyAlignment="1">
      <alignment horizontal="center" vertical="center"/>
    </xf>
    <xf numFmtId="1" fontId="48" fillId="0" borderId="38" xfId="1" applyNumberFormat="1" applyFont="1" applyBorder="1" applyAlignment="1">
      <alignment horizontal="center" vertical="center"/>
    </xf>
    <xf numFmtId="1" fontId="48" fillId="0" borderId="38" xfId="1" applyNumberFormat="1" applyFont="1" applyBorder="1" applyAlignment="1">
      <alignment vertical="center"/>
    </xf>
    <xf numFmtId="1" fontId="49" fillId="0" borderId="38" xfId="1" applyNumberFormat="1" applyFont="1" applyBorder="1" applyAlignment="1">
      <alignment vertical="center"/>
    </xf>
    <xf numFmtId="1" fontId="48" fillId="0" borderId="40" xfId="1" applyNumberFormat="1" applyFont="1" applyBorder="1" applyAlignment="1">
      <alignment vertical="center"/>
    </xf>
    <xf numFmtId="1" fontId="48" fillId="0" borderId="28" xfId="1" applyNumberFormat="1" applyFont="1" applyBorder="1" applyAlignment="1">
      <alignment vertical="center"/>
    </xf>
    <xf numFmtId="1" fontId="48" fillId="0" borderId="25" xfId="1" applyNumberFormat="1" applyFont="1" applyBorder="1" applyAlignment="1">
      <alignment vertical="center"/>
    </xf>
    <xf numFmtId="1" fontId="50" fillId="0" borderId="62" xfId="1" applyNumberFormat="1" applyFont="1" applyFill="1" applyBorder="1" applyAlignment="1">
      <alignment horizontal="center" vertical="center"/>
    </xf>
    <xf numFmtId="1" fontId="43" fillId="0" borderId="62" xfId="1" applyNumberFormat="1" applyFont="1" applyFill="1" applyBorder="1" applyAlignment="1">
      <alignment horizontal="center" vertical="center"/>
    </xf>
    <xf numFmtId="1" fontId="49" fillId="0" borderId="62" xfId="1" applyNumberFormat="1" applyFont="1" applyBorder="1" applyAlignment="1">
      <alignment vertical="center"/>
    </xf>
    <xf numFmtId="1" fontId="48" fillId="0" borderId="62" xfId="1" applyNumberFormat="1" applyFont="1" applyBorder="1" applyAlignment="1">
      <alignment vertical="center"/>
    </xf>
    <xf numFmtId="1" fontId="49" fillId="0" borderId="62" xfId="44" applyNumberFormat="1" applyFont="1" applyBorder="1" applyAlignment="1">
      <alignment vertical="center"/>
    </xf>
    <xf numFmtId="1" fontId="48" fillId="0" borderId="62" xfId="44" applyNumberFormat="1" applyFont="1" applyBorder="1" applyAlignment="1">
      <alignment vertical="center"/>
    </xf>
    <xf numFmtId="1" fontId="49" fillId="0" borderId="70" xfId="44" applyNumberFormat="1" applyFont="1" applyBorder="1" applyAlignment="1">
      <alignment vertical="center"/>
    </xf>
    <xf numFmtId="1" fontId="48" fillId="0" borderId="0" xfId="1" applyNumberFormat="1" applyFont="1" applyAlignment="1">
      <alignment vertical="center"/>
    </xf>
    <xf numFmtId="177" fontId="44" fillId="45" borderId="43" xfId="1" applyNumberFormat="1" applyFont="1" applyFill="1" applyBorder="1" applyAlignment="1">
      <alignment horizontal="center" vertical="center"/>
    </xf>
    <xf numFmtId="177" fontId="44" fillId="45" borderId="39" xfId="1" applyNumberFormat="1" applyFont="1" applyFill="1" applyBorder="1" applyAlignment="1">
      <alignment horizontal="center" vertical="center"/>
    </xf>
    <xf numFmtId="177" fontId="48" fillId="0" borderId="39" xfId="1" applyNumberFormat="1" applyFont="1" applyBorder="1" applyAlignment="1">
      <alignment horizontal="center" vertical="center"/>
    </xf>
    <xf numFmtId="177" fontId="49" fillId="0" borderId="39" xfId="1" applyNumberFormat="1" applyFont="1" applyBorder="1" applyAlignment="1">
      <alignment vertical="center"/>
    </xf>
    <xf numFmtId="177" fontId="48" fillId="0" borderId="39" xfId="1" applyNumberFormat="1" applyFont="1" applyBorder="1" applyAlignment="1">
      <alignment vertical="center"/>
    </xf>
    <xf numFmtId="177" fontId="49" fillId="0" borderId="41" xfId="1" applyNumberFormat="1" applyFont="1" applyBorder="1" applyAlignment="1">
      <alignment vertical="center"/>
    </xf>
    <xf numFmtId="177" fontId="49" fillId="0" borderId="27" xfId="1" applyNumberFormat="1" applyFont="1" applyBorder="1" applyAlignment="1">
      <alignment vertical="center"/>
    </xf>
    <xf numFmtId="177" fontId="48" fillId="0" borderId="25" xfId="1" applyNumberFormat="1" applyFont="1" applyBorder="1" applyAlignment="1">
      <alignment vertical="center"/>
    </xf>
    <xf numFmtId="177" fontId="49" fillId="0" borderId="78" xfId="1" applyNumberFormat="1" applyFont="1" applyBorder="1" applyAlignment="1">
      <alignment vertical="center"/>
    </xf>
    <xf numFmtId="177" fontId="48" fillId="0" borderId="78" xfId="1" applyNumberFormat="1" applyFont="1" applyBorder="1" applyAlignment="1">
      <alignment vertical="center"/>
    </xf>
    <xf numFmtId="177" fontId="49" fillId="0" borderId="78" xfId="44" applyNumberFormat="1" applyFont="1" applyBorder="1" applyAlignment="1">
      <alignment vertical="center"/>
    </xf>
    <xf numFmtId="177" fontId="48" fillId="0" borderId="78" xfId="44" applyNumberFormat="1" applyFont="1" applyBorder="1" applyAlignment="1">
      <alignment vertical="center"/>
    </xf>
    <xf numFmtId="177" fontId="43" fillId="0" borderId="78" xfId="44" applyNumberFormat="1" applyFont="1" applyFill="1" applyBorder="1" applyAlignment="1">
      <alignment vertical="center"/>
    </xf>
    <xf numFmtId="177" fontId="49" fillId="0" borderId="83" xfId="44" applyNumberFormat="1" applyFont="1" applyBorder="1" applyAlignment="1">
      <alignment vertical="center"/>
    </xf>
    <xf numFmtId="177" fontId="48" fillId="0" borderId="0" xfId="1" applyNumberFormat="1" applyFont="1" applyAlignment="1">
      <alignment vertical="center"/>
    </xf>
    <xf numFmtId="169" fontId="49" fillId="0" borderId="61" xfId="44" applyNumberFormat="1" applyFont="1" applyBorder="1" applyAlignment="1">
      <alignment horizontal="center" vertical="center"/>
    </xf>
    <xf numFmtId="177" fontId="40" fillId="0" borderId="61" xfId="0" applyNumberFormat="1" applyFont="1" applyBorder="1" applyAlignment="1">
      <alignment horizontal="center" vertical="center"/>
    </xf>
    <xf numFmtId="177" fontId="51" fillId="0" borderId="61" xfId="0" applyNumberFormat="1" applyFont="1" applyBorder="1" applyAlignment="1">
      <alignment vertical="center"/>
    </xf>
    <xf numFmtId="177" fontId="51" fillId="0" borderId="64" xfId="0" applyNumberFormat="1" applyFont="1" applyBorder="1" applyAlignment="1">
      <alignment vertical="center"/>
    </xf>
    <xf numFmtId="10" fontId="48" fillId="0" borderId="16" xfId="2" applyNumberFormat="1" applyFont="1" applyBorder="1" applyAlignment="1">
      <alignment horizontal="center" vertical="center"/>
    </xf>
    <xf numFmtId="10" fontId="48" fillId="0" borderId="17" xfId="2" applyNumberFormat="1" applyFont="1" applyBorder="1" applyAlignment="1">
      <alignment horizontal="center" vertical="center"/>
    </xf>
    <xf numFmtId="0" fontId="44" fillId="45" borderId="44" xfId="0" applyFont="1" applyFill="1" applyBorder="1" applyAlignment="1">
      <alignment horizontal="center" vertical="center"/>
    </xf>
    <xf numFmtId="0" fontId="44" fillId="45" borderId="45" xfId="0" applyFont="1" applyFill="1" applyBorder="1" applyAlignment="1">
      <alignment horizontal="center" vertical="center"/>
    </xf>
    <xf numFmtId="0" fontId="44" fillId="45" borderId="46" xfId="0" applyFont="1" applyFill="1" applyBorder="1" applyAlignment="1">
      <alignment horizontal="center" vertical="center"/>
    </xf>
    <xf numFmtId="0" fontId="44" fillId="36" borderId="74" xfId="0" applyFont="1" applyFill="1" applyBorder="1" applyAlignment="1">
      <alignment horizontal="center" vertical="center"/>
    </xf>
    <xf numFmtId="0" fontId="44" fillId="36" borderId="75" xfId="0" applyFont="1" applyFill="1" applyBorder="1" applyAlignment="1">
      <alignment horizontal="center" vertical="center"/>
    </xf>
    <xf numFmtId="0" fontId="44" fillId="36" borderId="77" xfId="0" applyFont="1" applyFill="1" applyBorder="1" applyAlignment="1">
      <alignment horizontal="center" vertical="center"/>
    </xf>
    <xf numFmtId="0" fontId="44" fillId="36" borderId="15" xfId="0" applyFont="1" applyFill="1" applyBorder="1" applyAlignment="1">
      <alignment horizontal="center" vertical="center"/>
    </xf>
    <xf numFmtId="0" fontId="50" fillId="0" borderId="16" xfId="0" applyFont="1" applyBorder="1" applyAlignment="1">
      <alignment horizontal="center" vertical="center"/>
    </xf>
    <xf numFmtId="0" fontId="50" fillId="0" borderId="17" xfId="0" applyFont="1" applyBorder="1" applyAlignment="1">
      <alignment horizontal="center" vertical="center"/>
    </xf>
    <xf numFmtId="1" fontId="44" fillId="45" borderId="68" xfId="1" applyNumberFormat="1" applyFont="1" applyFill="1" applyBorder="1" applyAlignment="1">
      <alignment horizontal="center" vertical="center"/>
    </xf>
    <xf numFmtId="1" fontId="44" fillId="45" borderId="69" xfId="1" applyNumberFormat="1" applyFont="1" applyFill="1" applyBorder="1" applyAlignment="1">
      <alignment horizontal="center" vertical="center"/>
    </xf>
    <xf numFmtId="1" fontId="44" fillId="57" borderId="68" xfId="1" applyNumberFormat="1" applyFont="1" applyFill="1" applyBorder="1" applyAlignment="1">
      <alignment horizontal="center" vertical="center"/>
    </xf>
    <xf numFmtId="1" fontId="44" fillId="57" borderId="69" xfId="1" applyNumberFormat="1" applyFont="1" applyFill="1" applyBorder="1" applyAlignment="1">
      <alignment horizontal="center" vertical="center"/>
    </xf>
    <xf numFmtId="177" fontId="44" fillId="36" borderId="76" xfId="1" applyNumberFormat="1" applyFont="1" applyFill="1" applyBorder="1" applyAlignment="1">
      <alignment horizontal="center" vertical="center"/>
    </xf>
    <xf numFmtId="177" fontId="44" fillId="36" borderId="78" xfId="1" applyNumberFormat="1" applyFont="1" applyFill="1" applyBorder="1" applyAlignment="1">
      <alignment horizontal="center" vertical="center"/>
    </xf>
    <xf numFmtId="0" fontId="47" fillId="36" borderId="75" xfId="0" applyFont="1" applyFill="1" applyBorder="1" applyAlignment="1">
      <alignment horizontal="center" vertical="center"/>
    </xf>
    <xf numFmtId="0" fontId="47" fillId="36" borderId="15" xfId="0" applyFont="1" applyFill="1" applyBorder="1" applyAlignment="1">
      <alignment horizontal="center" vertical="center"/>
    </xf>
    <xf numFmtId="0" fontId="49" fillId="0" borderId="16" xfId="0" applyFont="1" applyBorder="1" applyAlignment="1">
      <alignment vertical="center"/>
    </xf>
    <xf numFmtId="0" fontId="49" fillId="0" borderId="17" xfId="0" applyFont="1" applyBorder="1" applyAlignment="1">
      <alignment vertical="center"/>
    </xf>
    <xf numFmtId="10" fontId="49" fillId="0" borderId="16" xfId="2" applyNumberFormat="1" applyFont="1" applyBorder="1" applyAlignment="1">
      <alignment horizontal="center" vertical="center"/>
    </xf>
    <xf numFmtId="10" fontId="49" fillId="0" borderId="17" xfId="2" applyNumberFormat="1" applyFont="1" applyBorder="1" applyAlignment="1">
      <alignment horizontal="center" vertical="center"/>
    </xf>
    <xf numFmtId="0" fontId="48" fillId="0" borderId="16" xfId="0" applyFont="1" applyBorder="1" applyAlignment="1">
      <alignment vertical="center"/>
    </xf>
    <xf numFmtId="0" fontId="48" fillId="0" borderId="17" xfId="0" applyFont="1" applyBorder="1" applyAlignment="1">
      <alignment vertical="center"/>
    </xf>
    <xf numFmtId="10" fontId="49" fillId="0" borderId="81" xfId="2" applyNumberFormat="1" applyFont="1" applyBorder="1" applyAlignment="1">
      <alignment horizontal="center" vertical="center"/>
    </xf>
    <xf numFmtId="10" fontId="49" fillId="0" borderId="82" xfId="2" applyNumberFormat="1" applyFont="1" applyBorder="1" applyAlignment="1">
      <alignment horizontal="center" vertical="center"/>
    </xf>
    <xf numFmtId="10" fontId="43" fillId="0" borderId="16" xfId="2" applyNumberFormat="1" applyFont="1" applyFill="1" applyBorder="1" applyAlignment="1">
      <alignment horizontal="center" vertical="center"/>
    </xf>
    <xf numFmtId="10" fontId="43" fillId="0" borderId="17" xfId="2" applyNumberFormat="1" applyFont="1" applyFill="1" applyBorder="1" applyAlignment="1">
      <alignment horizontal="center" vertical="center"/>
    </xf>
    <xf numFmtId="1" fontId="44" fillId="45" borderId="42" xfId="1" applyNumberFormat="1" applyFont="1" applyFill="1" applyBorder="1" applyAlignment="1">
      <alignment horizontal="center" vertical="center"/>
    </xf>
    <xf numFmtId="1" fontId="44" fillId="45" borderId="43" xfId="1" applyNumberFormat="1" applyFont="1" applyFill="1" applyBorder="1" applyAlignment="1">
      <alignment horizontal="center" vertical="center"/>
    </xf>
    <xf numFmtId="10" fontId="49" fillId="0" borderId="15" xfId="2" applyNumberFormat="1" applyFont="1" applyBorder="1" applyAlignment="1">
      <alignment horizontal="center" vertical="center"/>
    </xf>
    <xf numFmtId="1" fontId="44" fillId="57" borderId="42" xfId="1" applyNumberFormat="1" applyFont="1" applyFill="1" applyBorder="1" applyAlignment="1">
      <alignment horizontal="center" vertical="center"/>
    </xf>
    <xf numFmtId="1" fontId="44" fillId="57" borderId="43" xfId="1" applyNumberFormat="1" applyFont="1" applyFill="1" applyBorder="1" applyAlignment="1">
      <alignment horizontal="center" vertical="center"/>
    </xf>
    <xf numFmtId="0" fontId="13" fillId="65" borderId="37" xfId="0" applyFont="1" applyFill="1" applyBorder="1" applyAlignment="1">
      <alignment horizontal="center" vertical="center" wrapText="1"/>
    </xf>
    <xf numFmtId="0" fontId="13" fillId="65" borderId="37" xfId="0" applyFont="1" applyFill="1" applyBorder="1" applyAlignment="1">
      <alignment horizontal="center" vertical="center"/>
    </xf>
    <xf numFmtId="169" fontId="13" fillId="65" borderId="37" xfId="44" applyNumberFormat="1" applyFont="1" applyFill="1" applyBorder="1" applyAlignment="1">
      <alignment horizontal="center" vertical="center"/>
    </xf>
    <xf numFmtId="0" fontId="44" fillId="36" borderId="37" xfId="0" applyFont="1" applyFill="1" applyBorder="1" applyAlignment="1">
      <alignment horizontal="center" vertical="center" wrapText="1"/>
    </xf>
    <xf numFmtId="0" fontId="45" fillId="36" borderId="37" xfId="0" applyFont="1" applyFill="1" applyBorder="1" applyAlignment="1">
      <alignment horizontal="center"/>
    </xf>
    <xf numFmtId="0" fontId="13" fillId="65" borderId="37" xfId="0" applyFont="1" applyFill="1" applyBorder="1" applyAlignment="1">
      <alignment horizontal="center"/>
    </xf>
    <xf numFmtId="169" fontId="13" fillId="36" borderId="15" xfId="44" applyNumberFormat="1" applyFont="1" applyFill="1" applyBorder="1" applyAlignment="1">
      <alignment horizontal="center" vertical="center" wrapText="1"/>
    </xf>
    <xf numFmtId="0" fontId="13" fillId="36" borderId="15" xfId="0" applyFont="1" applyFill="1" applyBorder="1" applyAlignment="1">
      <alignment horizontal="center"/>
    </xf>
    <xf numFmtId="0" fontId="13" fillId="36" borderId="15" xfId="0" applyFont="1" applyFill="1" applyBorder="1" applyAlignment="1">
      <alignment horizontal="center" vertical="center"/>
    </xf>
    <xf numFmtId="169" fontId="13" fillId="36" borderId="15" xfId="44" applyNumberFormat="1" applyFont="1" applyFill="1" applyBorder="1" applyAlignment="1">
      <alignment horizontal="center" vertical="center"/>
    </xf>
    <xf numFmtId="0" fontId="13" fillId="64" borderId="37" xfId="0" applyFont="1" applyFill="1" applyBorder="1" applyAlignment="1">
      <alignment horizontal="center" vertical="center"/>
    </xf>
    <xf numFmtId="165" fontId="62" fillId="64" borderId="37" xfId="1" applyFont="1" applyFill="1" applyBorder="1" applyAlignment="1">
      <alignment horizontal="center" vertical="center"/>
    </xf>
    <xf numFmtId="165" fontId="62" fillId="36" borderId="37" xfId="1" applyFont="1" applyFill="1" applyBorder="1" applyAlignment="1">
      <alignment horizontal="center" vertical="center"/>
    </xf>
    <xf numFmtId="1" fontId="62" fillId="36" borderId="37" xfId="0" applyNumberFormat="1" applyFont="1" applyFill="1" applyBorder="1" applyAlignment="1">
      <alignment horizontal="center" vertical="center"/>
    </xf>
    <xf numFmtId="0" fontId="45" fillId="36" borderId="37" xfId="0" applyFont="1" applyFill="1" applyBorder="1" applyAlignment="1">
      <alignment horizontal="center" vertical="center"/>
    </xf>
    <xf numFmtId="0" fontId="13" fillId="36" borderId="37" xfId="0" applyFont="1" applyFill="1" applyBorder="1" applyAlignment="1">
      <alignment horizontal="center" vertical="center"/>
    </xf>
    <xf numFmtId="165" fontId="13" fillId="36" borderId="37" xfId="1" applyFont="1" applyFill="1" applyBorder="1" applyAlignment="1">
      <alignment horizontal="center"/>
    </xf>
    <xf numFmtId="165" fontId="62" fillId="64" borderId="0" xfId="1" applyFont="1" applyFill="1" applyBorder="1" applyAlignment="1">
      <alignment horizontal="center" vertical="center"/>
    </xf>
    <xf numFmtId="165" fontId="62" fillId="64" borderId="14" xfId="1" applyFont="1" applyFill="1" applyBorder="1" applyAlignment="1">
      <alignment horizontal="center" vertical="center"/>
    </xf>
    <xf numFmtId="165" fontId="28" fillId="36" borderId="37" xfId="1" applyFont="1" applyFill="1" applyBorder="1" applyAlignment="1">
      <alignment horizontal="center" vertical="center"/>
    </xf>
    <xf numFmtId="0" fontId="65" fillId="45" borderId="37" xfId="0" applyFont="1" applyFill="1" applyBorder="1" applyAlignment="1">
      <alignment horizontal="center" vertical="center"/>
    </xf>
    <xf numFmtId="165" fontId="13" fillId="41" borderId="37" xfId="1" applyFont="1" applyFill="1" applyBorder="1" applyAlignment="1">
      <alignment horizontal="center" vertical="center" wrapText="1"/>
    </xf>
    <xf numFmtId="165" fontId="13" fillId="45" borderId="37" xfId="1" applyFont="1" applyFill="1" applyBorder="1" applyAlignment="1">
      <alignment horizontal="center" vertical="center"/>
    </xf>
    <xf numFmtId="0" fontId="13" fillId="45" borderId="37" xfId="0" applyFont="1" applyFill="1" applyBorder="1" applyAlignment="1">
      <alignment horizontal="center" vertical="center"/>
    </xf>
    <xf numFmtId="165" fontId="13" fillId="36" borderId="0" xfId="1" applyFont="1" applyFill="1" applyBorder="1" applyAlignment="1">
      <alignment horizontal="center" vertical="center" wrapText="1"/>
    </xf>
    <xf numFmtId="165" fontId="13" fillId="36" borderId="0" xfId="1" applyFont="1" applyFill="1" applyBorder="1" applyAlignment="1">
      <alignment horizontal="center" vertical="center"/>
    </xf>
    <xf numFmtId="165" fontId="13" fillId="36" borderId="14" xfId="1" applyFont="1" applyFill="1" applyBorder="1" applyAlignment="1">
      <alignment horizontal="center" vertical="center"/>
    </xf>
    <xf numFmtId="165" fontId="13" fillId="64" borderId="13" xfId="1" applyFont="1" applyFill="1" applyBorder="1" applyAlignment="1">
      <alignment horizontal="center" vertical="center"/>
    </xf>
    <xf numFmtId="165" fontId="13" fillId="64" borderId="10" xfId="1" applyFont="1" applyFill="1" applyBorder="1" applyAlignment="1">
      <alignment horizontal="center" vertical="center"/>
    </xf>
    <xf numFmtId="165" fontId="64" fillId="45" borderId="37" xfId="1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165" fontId="0" fillId="0" borderId="37" xfId="1" applyFont="1" applyBorder="1" applyAlignment="1">
      <alignment horizontal="right" vertical="center"/>
    </xf>
    <xf numFmtId="0" fontId="17" fillId="45" borderId="37" xfId="0" applyFont="1" applyFill="1" applyBorder="1" applyAlignment="1">
      <alignment horizontal="center" vertical="center"/>
    </xf>
    <xf numFmtId="1" fontId="13" fillId="45" borderId="16" xfId="1" applyNumberFormat="1" applyFont="1" applyFill="1" applyBorder="1" applyAlignment="1">
      <alignment horizontal="center" vertical="center"/>
    </xf>
    <xf numFmtId="1" fontId="13" fillId="45" borderId="19" xfId="1" applyNumberFormat="1" applyFont="1" applyFill="1" applyBorder="1" applyAlignment="1">
      <alignment horizontal="center" vertical="center"/>
    </xf>
    <xf numFmtId="165" fontId="13" fillId="45" borderId="15" xfId="1" applyFont="1" applyFill="1" applyBorder="1" applyAlignment="1">
      <alignment horizontal="center" vertical="center"/>
    </xf>
    <xf numFmtId="1" fontId="13" fillId="45" borderId="15" xfId="1" applyNumberFormat="1" applyFont="1" applyFill="1" applyBorder="1" applyAlignment="1">
      <alignment horizontal="center" vertical="center"/>
    </xf>
    <xf numFmtId="0" fontId="13" fillId="45" borderId="10" xfId="0" applyFont="1" applyFill="1" applyBorder="1" applyAlignment="1">
      <alignment horizontal="center" vertical="center"/>
    </xf>
    <xf numFmtId="166" fontId="16" fillId="37" borderId="10" xfId="2" applyNumberFormat="1" applyFont="1" applyFill="1" applyBorder="1" applyAlignment="1">
      <alignment horizontal="center" vertical="center"/>
    </xf>
    <xf numFmtId="1" fontId="0" fillId="37" borderId="10" xfId="0" applyNumberFormat="1" applyFill="1" applyBorder="1" applyAlignment="1">
      <alignment horizontal="center" vertical="center"/>
    </xf>
    <xf numFmtId="0" fontId="13" fillId="41" borderId="0" xfId="0" applyFont="1" applyFill="1" applyAlignment="1">
      <alignment horizontal="center" vertical="center"/>
    </xf>
    <xf numFmtId="0" fontId="13" fillId="36" borderId="0" xfId="0" applyFont="1" applyFill="1" applyAlignment="1">
      <alignment horizontal="center" vertical="center"/>
    </xf>
    <xf numFmtId="0" fontId="13" fillId="36" borderId="14" xfId="0" applyFont="1" applyFill="1" applyBorder="1" applyAlignment="1">
      <alignment horizontal="center" vertical="center"/>
    </xf>
    <xf numFmtId="0" fontId="16" fillId="38" borderId="0" xfId="0" applyFont="1" applyFill="1" applyAlignment="1">
      <alignment horizontal="center" vertical="center"/>
    </xf>
    <xf numFmtId="0" fontId="16" fillId="46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166" fontId="16" fillId="38" borderId="10" xfId="2" applyNumberFormat="1" applyFont="1" applyFill="1" applyBorder="1" applyAlignment="1">
      <alignment horizontal="center" vertical="center"/>
    </xf>
    <xf numFmtId="1" fontId="0" fillId="38" borderId="10" xfId="0" applyNumberFormat="1" applyFill="1" applyBorder="1" applyAlignment="1">
      <alignment horizontal="center" vertical="center"/>
    </xf>
    <xf numFmtId="0" fontId="13" fillId="36" borderId="37" xfId="0" applyFont="1" applyFill="1" applyBorder="1" applyAlignment="1">
      <alignment horizontal="center" vertical="center" wrapText="1"/>
    </xf>
    <xf numFmtId="164" fontId="45" fillId="36" borderId="15" xfId="44" applyFont="1" applyFill="1" applyBorder="1" applyAlignment="1">
      <alignment horizontal="center" vertical="center"/>
    </xf>
    <xf numFmtId="0" fontId="45" fillId="36" borderId="15" xfId="0" applyFont="1" applyFill="1" applyBorder="1" applyAlignment="1">
      <alignment horizontal="center" vertical="center"/>
    </xf>
    <xf numFmtId="165" fontId="45" fillId="36" borderId="15" xfId="1" applyFont="1" applyFill="1" applyBorder="1" applyAlignment="1">
      <alignment horizontal="center" vertical="center"/>
    </xf>
    <xf numFmtId="165" fontId="45" fillId="58" borderId="37" xfId="1" applyFont="1" applyFill="1" applyBorder="1" applyAlignment="1">
      <alignment horizontal="center" vertical="center"/>
    </xf>
    <xf numFmtId="165" fontId="55" fillId="58" borderId="37" xfId="1" applyFont="1" applyFill="1" applyBorder="1" applyAlignment="1">
      <alignment horizontal="center" vertical="center"/>
    </xf>
    <xf numFmtId="165" fontId="45" fillId="36" borderId="37" xfId="1" applyFont="1" applyFill="1" applyBorder="1" applyAlignment="1">
      <alignment horizontal="center" vertical="center"/>
    </xf>
    <xf numFmtId="165" fontId="55" fillId="36" borderId="37" xfId="1" applyFont="1" applyFill="1" applyBorder="1" applyAlignment="1">
      <alignment horizontal="center" vertical="center"/>
    </xf>
    <xf numFmtId="1" fontId="45" fillId="36" borderId="37" xfId="1" applyNumberFormat="1" applyFont="1" applyFill="1" applyBorder="1" applyAlignment="1">
      <alignment horizontal="center" vertical="center"/>
    </xf>
    <xf numFmtId="165" fontId="22" fillId="0" borderId="0" xfId="1" applyFont="1" applyBorder="1" applyAlignment="1">
      <alignment horizontal="center" vertical="center"/>
    </xf>
    <xf numFmtId="165" fontId="34" fillId="36" borderId="37" xfId="1" applyFont="1" applyFill="1" applyBorder="1" applyAlignment="1">
      <alignment horizontal="center" vertical="center"/>
    </xf>
    <xf numFmtId="1" fontId="34" fillId="36" borderId="37" xfId="1" applyNumberFormat="1" applyFont="1" applyFill="1" applyBorder="1" applyAlignment="1">
      <alignment horizontal="center" vertical="center"/>
    </xf>
    <xf numFmtId="0" fontId="13" fillId="36" borderId="37" xfId="0" applyFont="1" applyFill="1" applyBorder="1" applyAlignment="1">
      <alignment horizontal="center"/>
    </xf>
    <xf numFmtId="165" fontId="34" fillId="36" borderId="18" xfId="1" applyFont="1" applyFill="1" applyBorder="1" applyAlignment="1">
      <alignment horizontal="center" vertical="center" wrapText="1"/>
    </xf>
    <xf numFmtId="165" fontId="34" fillId="36" borderId="26" xfId="1" applyFont="1" applyFill="1" applyBorder="1" applyAlignment="1">
      <alignment horizontal="center" vertical="center" wrapText="1"/>
    </xf>
    <xf numFmtId="165" fontId="22" fillId="0" borderId="0" xfId="1" applyFont="1" applyBorder="1" applyAlignment="1">
      <alignment horizontal="center" vertical="center" wrapText="1"/>
    </xf>
    <xf numFmtId="165" fontId="34" fillId="45" borderId="27" xfId="1" applyFont="1" applyFill="1" applyBorder="1" applyAlignment="1">
      <alignment horizontal="center" vertical="center" wrapText="1"/>
    </xf>
    <xf numFmtId="165" fontId="34" fillId="45" borderId="24" xfId="1" applyFont="1" applyFill="1" applyBorder="1" applyAlignment="1">
      <alignment horizontal="center" vertical="center" wrapText="1"/>
    </xf>
    <xf numFmtId="1" fontId="34" fillId="36" borderId="16" xfId="1" applyNumberFormat="1" applyFont="1" applyFill="1" applyBorder="1" applyAlignment="1">
      <alignment horizontal="center" vertical="center" wrapText="1"/>
    </xf>
    <xf numFmtId="1" fontId="34" fillId="36" borderId="19" xfId="1" applyNumberFormat="1" applyFont="1" applyFill="1" applyBorder="1" applyAlignment="1">
      <alignment horizontal="center" vertical="center" wrapText="1"/>
    </xf>
    <xf numFmtId="1" fontId="34" fillId="36" borderId="17" xfId="1" applyNumberFormat="1" applyFont="1" applyFill="1" applyBorder="1" applyAlignment="1">
      <alignment horizontal="center" vertical="center" wrapText="1"/>
    </xf>
    <xf numFmtId="1" fontId="34" fillId="36" borderId="18" xfId="1" applyNumberFormat="1" applyFont="1" applyFill="1" applyBorder="1" applyAlignment="1">
      <alignment horizontal="center" vertical="center" wrapText="1"/>
    </xf>
    <xf numFmtId="1" fontId="34" fillId="36" borderId="25" xfId="1" applyNumberFormat="1" applyFont="1" applyFill="1" applyBorder="1" applyAlignment="1">
      <alignment horizontal="center" vertical="center" wrapText="1"/>
    </xf>
    <xf numFmtId="1" fontId="34" fillId="36" borderId="26" xfId="1" applyNumberFormat="1" applyFont="1" applyFill="1" applyBorder="1" applyAlignment="1">
      <alignment horizontal="center" vertical="center" wrapText="1"/>
    </xf>
    <xf numFmtId="165" fontId="34" fillId="36" borderId="25" xfId="1" applyFont="1" applyFill="1" applyBorder="1" applyAlignment="1">
      <alignment horizontal="center" vertical="center" wrapText="1"/>
    </xf>
    <xf numFmtId="165" fontId="34" fillId="36" borderId="16" xfId="1" applyFont="1" applyFill="1" applyBorder="1" applyAlignment="1">
      <alignment horizontal="center" vertical="center" wrapText="1"/>
    </xf>
    <xf numFmtId="165" fontId="34" fillId="36" borderId="19" xfId="1" applyFont="1" applyFill="1" applyBorder="1" applyAlignment="1">
      <alignment horizontal="center" vertical="center" wrapText="1"/>
    </xf>
    <xf numFmtId="165" fontId="34" fillId="36" borderId="17" xfId="1" applyFont="1" applyFill="1" applyBorder="1" applyAlignment="1">
      <alignment horizontal="center" vertical="center" wrapText="1"/>
    </xf>
    <xf numFmtId="165" fontId="34" fillId="36" borderId="22" xfId="1" applyFont="1" applyFill="1" applyBorder="1" applyAlignment="1">
      <alignment horizontal="center" vertical="center" wrapText="1"/>
    </xf>
    <xf numFmtId="165" fontId="34" fillId="36" borderId="23" xfId="1" applyFont="1" applyFill="1" applyBorder="1" applyAlignment="1">
      <alignment horizontal="center" vertical="center" wrapText="1"/>
    </xf>
    <xf numFmtId="165" fontId="34" fillId="36" borderId="27" xfId="1" applyFont="1" applyFill="1" applyBorder="1" applyAlignment="1">
      <alignment horizontal="center" vertical="center" wrapText="1"/>
    </xf>
    <xf numFmtId="165" fontId="34" fillId="36" borderId="28" xfId="1" applyFont="1" applyFill="1" applyBorder="1" applyAlignment="1">
      <alignment horizontal="center" vertical="center" wrapText="1"/>
    </xf>
    <xf numFmtId="165" fontId="34" fillId="36" borderId="24" xfId="1" applyFont="1" applyFill="1" applyBorder="1" applyAlignment="1">
      <alignment horizontal="center" vertical="center" wrapText="1"/>
    </xf>
    <xf numFmtId="165" fontId="34" fillId="36" borderId="21" xfId="1" applyFont="1" applyFill="1" applyBorder="1" applyAlignment="1">
      <alignment horizontal="center" vertical="center" wrapText="1"/>
    </xf>
    <xf numFmtId="0" fontId="40" fillId="55" borderId="10" xfId="0" applyFont="1" applyFill="1" applyBorder="1" applyAlignment="1">
      <alignment horizontal="center" vertical="center"/>
    </xf>
    <xf numFmtId="0" fontId="40" fillId="55" borderId="52" xfId="0" applyFont="1" applyFill="1" applyBorder="1" applyAlignment="1">
      <alignment horizontal="center" vertical="center"/>
    </xf>
    <xf numFmtId="0" fontId="40" fillId="50" borderId="10" xfId="0" applyFont="1" applyFill="1" applyBorder="1" applyAlignment="1">
      <alignment horizontal="center" vertical="center"/>
    </xf>
    <xf numFmtId="0" fontId="40" fillId="34" borderId="37" xfId="0" applyFont="1" applyFill="1" applyBorder="1" applyAlignment="1">
      <alignment horizontal="center" vertical="center"/>
    </xf>
    <xf numFmtId="0" fontId="40" fillId="34" borderId="61" xfId="0" applyFont="1" applyFill="1" applyBorder="1" applyAlignment="1">
      <alignment horizontal="center" vertical="center"/>
    </xf>
    <xf numFmtId="0" fontId="40" fillId="35" borderId="49" xfId="0" applyFont="1" applyFill="1" applyBorder="1" applyAlignment="1">
      <alignment horizontal="center" vertical="center"/>
    </xf>
    <xf numFmtId="0" fontId="40" fillId="35" borderId="58" xfId="0" applyFont="1" applyFill="1" applyBorder="1" applyAlignment="1">
      <alignment horizontal="center" vertical="center"/>
    </xf>
    <xf numFmtId="0" fontId="40" fillId="35" borderId="50" xfId="0" applyFont="1" applyFill="1" applyBorder="1" applyAlignment="1">
      <alignment horizontal="center" vertical="center"/>
    </xf>
    <xf numFmtId="0" fontId="40" fillId="35" borderId="51" xfId="0" applyFont="1" applyFill="1" applyBorder="1" applyAlignment="1">
      <alignment horizontal="center" vertical="center"/>
    </xf>
    <xf numFmtId="0" fontId="40" fillId="35" borderId="10" xfId="0" applyFont="1" applyFill="1" applyBorder="1" applyAlignment="1">
      <alignment horizontal="center" vertical="center"/>
    </xf>
    <xf numFmtId="0" fontId="40" fillId="35" borderId="52" xfId="0" applyFont="1" applyFill="1" applyBorder="1" applyAlignment="1">
      <alignment horizontal="center" vertical="center"/>
    </xf>
    <xf numFmtId="0" fontId="40" fillId="34" borderId="68" xfId="0" applyFont="1" applyFill="1" applyBorder="1" applyAlignment="1">
      <alignment horizontal="center" vertical="center"/>
    </xf>
    <xf numFmtId="0" fontId="40" fillId="34" borderId="71" xfId="0" applyFont="1" applyFill="1" applyBorder="1" applyAlignment="1">
      <alignment horizontal="center" vertical="center"/>
    </xf>
    <xf numFmtId="0" fontId="40" fillId="34" borderId="69" xfId="0" applyFont="1" applyFill="1" applyBorder="1" applyAlignment="1">
      <alignment horizontal="center" vertical="center"/>
    </xf>
    <xf numFmtId="0" fontId="40" fillId="34" borderId="62" xfId="0" applyFont="1" applyFill="1" applyBorder="1" applyAlignment="1">
      <alignment horizontal="center" vertical="center" wrapText="1"/>
    </xf>
    <xf numFmtId="0" fontId="40" fillId="34" borderId="62" xfId="0" applyFont="1" applyFill="1" applyBorder="1" applyAlignment="1">
      <alignment horizontal="center" vertical="center"/>
    </xf>
    <xf numFmtId="0" fontId="45" fillId="45" borderId="37" xfId="0" applyFont="1" applyFill="1" applyBorder="1" applyAlignment="1">
      <alignment horizontal="center" vertical="center" wrapText="1"/>
    </xf>
    <xf numFmtId="0" fontId="40" fillId="66" borderId="68" xfId="0" applyFont="1" applyFill="1" applyBorder="1" applyAlignment="1">
      <alignment horizontal="center" vertical="center"/>
    </xf>
    <xf numFmtId="0" fontId="40" fillId="66" borderId="71" xfId="0" applyFont="1" applyFill="1" applyBorder="1" applyAlignment="1">
      <alignment horizontal="center" vertical="center"/>
    </xf>
    <xf numFmtId="0" fontId="40" fillId="66" borderId="69" xfId="0" applyFont="1" applyFill="1" applyBorder="1" applyAlignment="1">
      <alignment horizontal="center" vertical="center"/>
    </xf>
    <xf numFmtId="0" fontId="45" fillId="36" borderId="92" xfId="0" applyFont="1" applyFill="1" applyBorder="1" applyAlignment="1">
      <alignment horizontal="center" vertical="center"/>
    </xf>
    <xf numFmtId="0" fontId="45" fillId="36" borderId="95" xfId="0" applyFont="1" applyFill="1" applyBorder="1" applyAlignment="1">
      <alignment horizontal="center" vertical="center"/>
    </xf>
    <xf numFmtId="0" fontId="45" fillId="36" borderId="87" xfId="0" applyFont="1" applyFill="1" applyBorder="1" applyAlignment="1">
      <alignment horizontal="center" vertical="center"/>
    </xf>
    <xf numFmtId="0" fontId="45" fillId="36" borderId="72" xfId="0" applyFont="1" applyFill="1" applyBorder="1" applyAlignment="1">
      <alignment horizontal="center" vertical="center"/>
    </xf>
    <xf numFmtId="0" fontId="45" fillId="36" borderId="91" xfId="0" applyFont="1" applyFill="1" applyBorder="1" applyAlignment="1">
      <alignment horizontal="center" vertical="center"/>
    </xf>
    <xf numFmtId="0" fontId="45" fillId="36" borderId="88" xfId="0" applyFont="1" applyFill="1" applyBorder="1" applyAlignment="1">
      <alignment horizontal="center" vertical="center"/>
    </xf>
    <xf numFmtId="0" fontId="45" fillId="36" borderId="93" xfId="0" applyFont="1" applyFill="1" applyBorder="1" applyAlignment="1">
      <alignment horizontal="center" vertical="center"/>
    </xf>
    <xf numFmtId="0" fontId="45" fillId="36" borderId="30" xfId="0" applyFont="1" applyFill="1" applyBorder="1" applyAlignment="1">
      <alignment horizontal="center" vertical="center"/>
    </xf>
    <xf numFmtId="0" fontId="45" fillId="36" borderId="94" xfId="0" applyFont="1" applyFill="1" applyBorder="1" applyAlignment="1">
      <alignment horizontal="center" vertical="center"/>
    </xf>
    <xf numFmtId="0" fontId="45" fillId="36" borderId="89" xfId="0" applyFont="1" applyFill="1" applyBorder="1" applyAlignment="1">
      <alignment horizontal="center" vertical="center"/>
    </xf>
    <xf numFmtId="0" fontId="45" fillId="36" borderId="55" xfId="0" applyFont="1" applyFill="1" applyBorder="1" applyAlignment="1">
      <alignment horizontal="center" vertical="center"/>
    </xf>
    <xf numFmtId="0" fontId="45" fillId="36" borderId="90" xfId="0" applyFont="1" applyFill="1" applyBorder="1" applyAlignment="1">
      <alignment horizontal="center" vertical="center"/>
    </xf>
    <xf numFmtId="0" fontId="45" fillId="36" borderId="68" xfId="0" applyFont="1" applyFill="1" applyBorder="1" applyAlignment="1">
      <alignment horizontal="center" vertical="center"/>
    </xf>
    <xf numFmtId="0" fontId="45" fillId="36" borderId="71" xfId="0" applyFont="1" applyFill="1" applyBorder="1" applyAlignment="1">
      <alignment horizontal="center" vertical="center"/>
    </xf>
    <xf numFmtId="0" fontId="45" fillId="36" borderId="69" xfId="0" applyFont="1" applyFill="1" applyBorder="1" applyAlignment="1">
      <alignment horizontal="center" vertical="center"/>
    </xf>
    <xf numFmtId="0" fontId="40" fillId="35" borderId="68" xfId="0" applyFont="1" applyFill="1" applyBorder="1" applyAlignment="1">
      <alignment horizontal="center" vertical="center"/>
    </xf>
    <xf numFmtId="0" fontId="40" fillId="35" borderId="71" xfId="0" applyFont="1" applyFill="1" applyBorder="1" applyAlignment="1">
      <alignment horizontal="center" vertical="center"/>
    </xf>
    <xf numFmtId="0" fontId="40" fillId="35" borderId="69" xfId="0" applyFont="1" applyFill="1" applyBorder="1" applyAlignment="1">
      <alignment horizontal="center" vertical="center"/>
    </xf>
    <xf numFmtId="0" fontId="45" fillId="58" borderId="71" xfId="0" applyFont="1" applyFill="1" applyBorder="1" applyAlignment="1">
      <alignment horizontal="center" vertical="center"/>
    </xf>
    <xf numFmtId="0" fontId="55" fillId="36" borderId="62" xfId="0" applyFont="1" applyFill="1" applyBorder="1" applyAlignment="1">
      <alignment horizontal="center" vertical="center" wrapText="1"/>
    </xf>
    <xf numFmtId="0" fontId="55" fillId="36" borderId="37" xfId="0" applyFont="1" applyFill="1" applyBorder="1" applyAlignment="1">
      <alignment horizontal="center" vertical="center" wrapText="1"/>
    </xf>
    <xf numFmtId="0" fontId="55" fillId="36" borderId="68" xfId="0" applyFont="1" applyFill="1" applyBorder="1" applyAlignment="1">
      <alignment horizontal="center" vertical="center" wrapText="1"/>
    </xf>
    <xf numFmtId="0" fontId="55" fillId="36" borderId="71" xfId="0" applyFont="1" applyFill="1" applyBorder="1" applyAlignment="1">
      <alignment horizontal="center" vertical="center" wrapText="1"/>
    </xf>
    <xf numFmtId="0" fontId="55" fillId="36" borderId="69" xfId="0" applyFont="1" applyFill="1" applyBorder="1" applyAlignment="1">
      <alignment horizontal="center" vertical="center" wrapText="1"/>
    </xf>
    <xf numFmtId="0" fontId="55" fillId="36" borderId="61" xfId="0" applyFont="1" applyFill="1" applyBorder="1" applyAlignment="1">
      <alignment horizontal="center" vertical="center" wrapText="1"/>
    </xf>
    <xf numFmtId="0" fontId="45" fillId="36" borderId="68" xfId="0" applyFont="1" applyFill="1" applyBorder="1" applyAlignment="1">
      <alignment horizontal="center" vertical="center" wrapText="1"/>
    </xf>
    <xf numFmtId="0" fontId="45" fillId="36" borderId="62" xfId="0" applyFont="1" applyFill="1" applyBorder="1" applyAlignment="1">
      <alignment horizontal="center" vertical="center" wrapText="1"/>
    </xf>
    <xf numFmtId="165" fontId="45" fillId="36" borderId="71" xfId="1" applyFont="1" applyFill="1" applyBorder="1" applyAlignment="1">
      <alignment horizontal="center" vertical="center" wrapText="1"/>
    </xf>
    <xf numFmtId="165" fontId="45" fillId="36" borderId="37" xfId="1" applyFont="1" applyFill="1" applyBorder="1" applyAlignment="1">
      <alignment horizontal="center" vertical="center" wrapText="1"/>
    </xf>
    <xf numFmtId="0" fontId="45" fillId="36" borderId="69" xfId="0" applyFont="1" applyFill="1" applyBorder="1" applyAlignment="1">
      <alignment horizontal="center" vertical="center" wrapText="1"/>
    </xf>
    <xf numFmtId="0" fontId="45" fillId="36" borderId="61" xfId="0" applyFont="1" applyFill="1" applyBorder="1" applyAlignment="1">
      <alignment horizontal="center" vertical="center" wrapText="1"/>
    </xf>
    <xf numFmtId="0" fontId="45" fillId="36" borderId="71" xfId="0" applyFont="1" applyFill="1" applyBorder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45" fillId="36" borderId="42" xfId="0" applyFont="1" applyFill="1" applyBorder="1" applyAlignment="1">
      <alignment horizontal="center" vertical="center" wrapText="1"/>
    </xf>
    <xf numFmtId="0" fontId="45" fillId="36" borderId="46" xfId="0" applyFont="1" applyFill="1" applyBorder="1" applyAlignment="1">
      <alignment horizontal="center" vertical="center" wrapText="1"/>
    </xf>
    <xf numFmtId="0" fontId="45" fillId="36" borderId="43" xfId="0" applyFont="1" applyFill="1" applyBorder="1" applyAlignment="1">
      <alignment horizontal="center" vertical="center" wrapText="1"/>
    </xf>
    <xf numFmtId="0" fontId="45" fillId="36" borderId="15" xfId="0" applyFont="1" applyFill="1" applyBorder="1" applyAlignment="1">
      <alignment horizontal="center" vertical="center" wrapText="1"/>
    </xf>
    <xf numFmtId="0" fontId="45" fillId="36" borderId="39" xfId="0" applyFont="1" applyFill="1" applyBorder="1" applyAlignment="1">
      <alignment horizontal="center" vertical="center" wrapText="1"/>
    </xf>
    <xf numFmtId="165" fontId="14" fillId="0" borderId="37" xfId="1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165" fontId="36" fillId="49" borderId="62" xfId="1" applyFont="1" applyFill="1" applyBorder="1" applyAlignment="1">
      <alignment horizontal="center" vertical="center"/>
    </xf>
    <xf numFmtId="165" fontId="36" fillId="49" borderId="37" xfId="1" applyFont="1" applyFill="1" applyBorder="1" applyAlignment="1">
      <alignment horizontal="center" vertical="center"/>
    </xf>
    <xf numFmtId="0" fontId="13" fillId="36" borderId="71" xfId="0" applyFont="1" applyFill="1" applyBorder="1" applyAlignment="1">
      <alignment horizontal="center" vertical="center"/>
    </xf>
    <xf numFmtId="0" fontId="13" fillId="36" borderId="69" xfId="0" applyFont="1" applyFill="1" applyBorder="1" applyAlignment="1">
      <alignment horizontal="center" vertical="center"/>
    </xf>
    <xf numFmtId="0" fontId="13" fillId="36" borderId="61" xfId="0" applyFont="1" applyFill="1" applyBorder="1" applyAlignment="1">
      <alignment horizontal="center" vertical="center"/>
    </xf>
    <xf numFmtId="0" fontId="13" fillId="36" borderId="68" xfId="0" applyFont="1" applyFill="1" applyBorder="1" applyAlignment="1">
      <alignment horizontal="center" vertical="center"/>
    </xf>
    <xf numFmtId="0" fontId="18" fillId="66" borderId="68" xfId="0" applyFont="1" applyFill="1" applyBorder="1" applyAlignment="1">
      <alignment horizontal="center" vertical="center"/>
    </xf>
    <xf numFmtId="0" fontId="18" fillId="66" borderId="71" xfId="0" applyFont="1" applyFill="1" applyBorder="1" applyAlignment="1">
      <alignment horizontal="center" vertical="center"/>
    </xf>
    <xf numFmtId="0" fontId="18" fillId="66" borderId="69" xfId="0" applyFont="1" applyFill="1" applyBorder="1" applyAlignment="1">
      <alignment horizontal="center" vertical="center"/>
    </xf>
    <xf numFmtId="0" fontId="13" fillId="45" borderId="84" xfId="0" applyFont="1" applyFill="1" applyBorder="1" applyAlignment="1">
      <alignment horizontal="center" vertical="center"/>
    </xf>
    <xf numFmtId="0" fontId="13" fillId="36" borderId="62" xfId="0" applyFont="1" applyFill="1" applyBorder="1" applyAlignment="1">
      <alignment horizontal="center" vertical="center"/>
    </xf>
    <xf numFmtId="0" fontId="13" fillId="36" borderId="71" xfId="0" applyFont="1" applyFill="1" applyBorder="1" applyAlignment="1">
      <alignment horizontal="center" vertical="center" wrapText="1"/>
    </xf>
    <xf numFmtId="165" fontId="13" fillId="36" borderId="37" xfId="0" applyNumberFormat="1" applyFont="1" applyFill="1" applyBorder="1" applyAlignment="1">
      <alignment horizontal="center" vertical="center" wrapText="1"/>
    </xf>
    <xf numFmtId="165" fontId="13" fillId="36" borderId="61" xfId="0" applyNumberFormat="1" applyFont="1" applyFill="1" applyBorder="1" applyAlignment="1">
      <alignment horizontal="center" vertical="center" wrapText="1"/>
    </xf>
    <xf numFmtId="0" fontId="17" fillId="36" borderId="68" xfId="0" applyFont="1" applyFill="1" applyBorder="1" applyAlignment="1">
      <alignment horizontal="center" vertical="center" wrapText="1"/>
    </xf>
    <xf numFmtId="0" fontId="17" fillId="36" borderId="71" xfId="0" applyFont="1" applyFill="1" applyBorder="1" applyAlignment="1">
      <alignment horizontal="center" vertical="center" wrapText="1"/>
    </xf>
    <xf numFmtId="0" fontId="17" fillId="36" borderId="69" xfId="0" applyFont="1" applyFill="1" applyBorder="1" applyAlignment="1">
      <alignment horizontal="center" vertical="center" wrapText="1"/>
    </xf>
    <xf numFmtId="0" fontId="13" fillId="36" borderId="62" xfId="0" applyFont="1" applyFill="1" applyBorder="1" applyAlignment="1">
      <alignment horizontal="center" vertical="center" wrapText="1"/>
    </xf>
    <xf numFmtId="0" fontId="13" fillId="58" borderId="37" xfId="0" applyFont="1" applyFill="1" applyBorder="1" applyAlignment="1">
      <alignment horizontal="center" vertical="center" wrapText="1"/>
    </xf>
    <xf numFmtId="0" fontId="13" fillId="36" borderId="61" xfId="0" applyFont="1" applyFill="1" applyBorder="1" applyAlignment="1">
      <alignment horizontal="center" vertical="center" wrapText="1"/>
    </xf>
    <xf numFmtId="0" fontId="13" fillId="58" borderId="37" xfId="0" applyFont="1" applyFill="1" applyBorder="1" applyAlignment="1">
      <alignment horizontal="center"/>
    </xf>
    <xf numFmtId="0" fontId="13" fillId="58" borderId="61" xfId="0" applyFont="1" applyFill="1" applyBorder="1" applyAlignment="1">
      <alignment horizontal="center"/>
    </xf>
    <xf numFmtId="0" fontId="13" fillId="36" borderId="61" xfId="0" applyFont="1" applyFill="1" applyBorder="1" applyAlignment="1">
      <alignment horizontal="center"/>
    </xf>
    <xf numFmtId="165" fontId="13" fillId="36" borderId="68" xfId="1" applyFont="1" applyFill="1" applyBorder="1" applyAlignment="1">
      <alignment horizontal="center"/>
    </xf>
    <xf numFmtId="165" fontId="13" fillId="36" borderId="71" xfId="1" applyFont="1" applyFill="1" applyBorder="1" applyAlignment="1">
      <alignment horizontal="center"/>
    </xf>
    <xf numFmtId="0" fontId="13" fillId="36" borderId="62" xfId="0" applyFont="1" applyFill="1" applyBorder="1" applyAlignment="1">
      <alignment horizontal="center" wrapText="1"/>
    </xf>
    <xf numFmtId="0" fontId="13" fillId="36" borderId="37" xfId="0" applyFont="1" applyFill="1" applyBorder="1" applyAlignment="1">
      <alignment horizontal="center" wrapText="1"/>
    </xf>
    <xf numFmtId="0" fontId="13" fillId="58" borderId="37" xfId="0" applyFont="1" applyFill="1" applyBorder="1" applyAlignment="1">
      <alignment horizontal="center" wrapText="1"/>
    </xf>
    <xf numFmtId="0" fontId="13" fillId="36" borderId="68" xfId="0" applyFont="1" applyFill="1" applyBorder="1" applyAlignment="1">
      <alignment horizontal="center"/>
    </xf>
    <xf numFmtId="0" fontId="13" fillId="36" borderId="71" xfId="0" applyFont="1" applyFill="1" applyBorder="1" applyAlignment="1">
      <alignment horizontal="center"/>
    </xf>
    <xf numFmtId="0" fontId="13" fillId="36" borderId="69" xfId="0" applyFont="1" applyFill="1" applyBorder="1" applyAlignment="1">
      <alignment horizontal="center"/>
    </xf>
    <xf numFmtId="0" fontId="16" fillId="0" borderId="37" xfId="0" applyFont="1" applyBorder="1" applyAlignment="1">
      <alignment horizontal="center" vertical="center" wrapText="1"/>
    </xf>
    <xf numFmtId="0" fontId="52" fillId="0" borderId="73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9" fontId="16" fillId="43" borderId="37" xfId="0" applyNumberFormat="1" applyFont="1" applyFill="1" applyBorder="1" applyAlignment="1">
      <alignment horizontal="center" vertical="center" wrapText="1"/>
    </xf>
    <xf numFmtId="9" fontId="16" fillId="0" borderId="37" xfId="0" applyNumberFormat="1" applyFont="1" applyBorder="1" applyAlignment="1">
      <alignment horizontal="center" vertical="center" wrapText="1"/>
    </xf>
    <xf numFmtId="0" fontId="67" fillId="0" borderId="15" xfId="0" applyFont="1" applyBorder="1" applyAlignment="1">
      <alignment horizontal="center" vertical="center" wrapText="1"/>
    </xf>
    <xf numFmtId="165" fontId="68" fillId="0" borderId="15" xfId="0" applyNumberFormat="1" applyFont="1" applyBorder="1" applyAlignment="1">
      <alignment horizontal="center" vertical="center" wrapText="1"/>
    </xf>
    <xf numFmtId="0" fontId="68" fillId="0" borderId="15" xfId="0" applyFont="1" applyBorder="1" applyAlignment="1">
      <alignment horizontal="center" vertical="center" wrapText="1"/>
    </xf>
    <xf numFmtId="164" fontId="68" fillId="0" borderId="15" xfId="44" applyFont="1" applyFill="1" applyBorder="1" applyAlignment="1">
      <alignment horizontal="center" vertical="center" wrapText="1"/>
    </xf>
    <xf numFmtId="0" fontId="45" fillId="36" borderId="85" xfId="0" applyFont="1" applyFill="1" applyBorder="1" applyAlignment="1">
      <alignment horizontal="center" vertical="center" wrapText="1"/>
    </xf>
    <xf numFmtId="0" fontId="45" fillId="36" borderId="86" xfId="0" applyFont="1" applyFill="1" applyBorder="1" applyAlignment="1">
      <alignment horizontal="center" vertical="center" wrapText="1"/>
    </xf>
    <xf numFmtId="0" fontId="45" fillId="36" borderId="109" xfId="0" applyFont="1" applyFill="1" applyBorder="1" applyAlignment="1">
      <alignment horizontal="center" vertical="center" wrapText="1"/>
    </xf>
    <xf numFmtId="0" fontId="45" fillId="36" borderId="111" xfId="0" applyFont="1" applyFill="1" applyBorder="1" applyAlignment="1">
      <alignment horizontal="center" vertical="center" wrapText="1"/>
    </xf>
    <xf numFmtId="0" fontId="45" fillId="36" borderId="37" xfId="0" applyFont="1" applyFill="1" applyBorder="1" applyAlignment="1">
      <alignment horizontal="center" vertical="center" wrapText="1"/>
    </xf>
    <xf numFmtId="165" fontId="45" fillId="36" borderId="71" xfId="0" applyNumberFormat="1" applyFont="1" applyFill="1" applyBorder="1" applyAlignment="1">
      <alignment horizontal="center" vertical="center" wrapText="1"/>
    </xf>
    <xf numFmtId="165" fontId="45" fillId="36" borderId="69" xfId="0" applyNumberFormat="1" applyFont="1" applyFill="1" applyBorder="1" applyAlignment="1">
      <alignment horizontal="center" vertical="center" wrapText="1"/>
    </xf>
    <xf numFmtId="165" fontId="45" fillId="36" borderId="37" xfId="0" applyNumberFormat="1" applyFont="1" applyFill="1" applyBorder="1" applyAlignment="1">
      <alignment horizontal="center" vertical="center" wrapText="1"/>
    </xf>
    <xf numFmtId="165" fontId="45" fillId="36" borderId="61" xfId="0" applyNumberFormat="1" applyFont="1" applyFill="1" applyBorder="1" applyAlignment="1">
      <alignment horizontal="center" vertical="center" wrapText="1"/>
    </xf>
    <xf numFmtId="0" fontId="45" fillId="36" borderId="108" xfId="0" applyFont="1" applyFill="1" applyBorder="1" applyAlignment="1">
      <alignment horizontal="center" vertical="center" wrapText="1"/>
    </xf>
    <xf numFmtId="0" fontId="45" fillId="45" borderId="51" xfId="0" applyFont="1" applyFill="1" applyBorder="1" applyAlignment="1">
      <alignment horizontal="center" vertical="center" wrapText="1"/>
    </xf>
    <xf numFmtId="0" fontId="45" fillId="45" borderId="10" xfId="0" applyFont="1" applyFill="1" applyBorder="1" applyAlignment="1">
      <alignment horizontal="center" vertical="center" wrapText="1"/>
    </xf>
    <xf numFmtId="0" fontId="45" fillId="58" borderId="10" xfId="0" applyFont="1" applyFill="1" applyBorder="1" applyAlignment="1">
      <alignment horizontal="center" vertical="center" wrapText="1"/>
    </xf>
    <xf numFmtId="0" fontId="45" fillId="58" borderId="12" xfId="0" applyFont="1" applyFill="1" applyBorder="1" applyAlignment="1">
      <alignment horizontal="center" vertical="center" wrapText="1"/>
    </xf>
    <xf numFmtId="0" fontId="40" fillId="0" borderId="49" xfId="0" applyFont="1" applyBorder="1" applyAlignment="1">
      <alignment horizontal="center" vertical="center" wrapText="1"/>
    </xf>
    <xf numFmtId="0" fontId="40" fillId="0" borderId="58" xfId="0" applyFont="1" applyBorder="1" applyAlignment="1">
      <alignment horizontal="center" vertical="center" wrapText="1"/>
    </xf>
    <xf numFmtId="0" fontId="40" fillId="0" borderId="50" xfId="0" applyFont="1" applyBorder="1" applyAlignment="1">
      <alignment horizontal="center" vertical="center" wrapText="1"/>
    </xf>
    <xf numFmtId="169" fontId="45" fillId="36" borderId="49" xfId="44" applyNumberFormat="1" applyFont="1" applyFill="1" applyBorder="1" applyAlignment="1">
      <alignment horizontal="center" vertical="center" wrapText="1"/>
    </xf>
    <xf numFmtId="169" fontId="45" fillId="36" borderId="58" xfId="44" applyNumberFormat="1" applyFont="1" applyFill="1" applyBorder="1" applyAlignment="1">
      <alignment horizontal="center" vertical="center" wrapText="1"/>
    </xf>
    <xf numFmtId="169" fontId="45" fillId="36" borderId="50" xfId="44" applyNumberFormat="1" applyFont="1" applyFill="1" applyBorder="1" applyAlignment="1">
      <alignment horizontal="center" vertical="center" wrapText="1"/>
    </xf>
    <xf numFmtId="0" fontId="45" fillId="36" borderId="107" xfId="0" applyFont="1" applyFill="1" applyBorder="1" applyAlignment="1">
      <alignment horizontal="center" vertical="center" wrapText="1"/>
    </xf>
    <xf numFmtId="0" fontId="45" fillId="36" borderId="110" xfId="0" applyFont="1" applyFill="1" applyBorder="1" applyAlignment="1">
      <alignment horizontal="center" vertical="center" wrapText="1"/>
    </xf>
    <xf numFmtId="169" fontId="45" fillId="45" borderId="62" xfId="44" applyNumberFormat="1" applyFont="1" applyFill="1" applyBorder="1" applyAlignment="1">
      <alignment horizontal="center" vertical="center" wrapText="1"/>
    </xf>
    <xf numFmtId="165" fontId="40" fillId="34" borderId="37" xfId="0" applyNumberFormat="1" applyFont="1" applyFill="1" applyBorder="1" applyAlignment="1">
      <alignment horizontal="center" vertical="center" wrapText="1"/>
    </xf>
    <xf numFmtId="165" fontId="40" fillId="34" borderId="61" xfId="0" applyNumberFormat="1" applyFont="1" applyFill="1" applyBorder="1" applyAlignment="1">
      <alignment horizontal="center" vertical="center" wrapText="1"/>
    </xf>
    <xf numFmtId="0" fontId="45" fillId="36" borderId="97" xfId="0" applyFont="1" applyFill="1" applyBorder="1" applyAlignment="1">
      <alignment horizontal="center" vertical="center" wrapText="1"/>
    </xf>
    <xf numFmtId="0" fontId="45" fillId="36" borderId="30" xfId="0" applyFont="1" applyFill="1" applyBorder="1" applyAlignment="1">
      <alignment horizontal="center" vertical="center" wrapText="1"/>
    </xf>
    <xf numFmtId="0" fontId="45" fillId="36" borderId="98" xfId="0" applyFont="1" applyFill="1" applyBorder="1" applyAlignment="1">
      <alignment horizontal="center" vertical="center" wrapText="1"/>
    </xf>
    <xf numFmtId="0" fontId="45" fillId="36" borderId="27" xfId="0" applyFont="1" applyFill="1" applyBorder="1" applyAlignment="1">
      <alignment horizontal="center" vertical="center" wrapText="1"/>
    </xf>
    <xf numFmtId="0" fontId="45" fillId="36" borderId="0" xfId="0" applyFont="1" applyFill="1" applyAlignment="1">
      <alignment horizontal="center" vertical="center" wrapText="1"/>
    </xf>
    <xf numFmtId="0" fontId="45" fillId="36" borderId="28" xfId="0" applyFont="1" applyFill="1" applyBorder="1" applyAlignment="1">
      <alignment horizontal="center" vertical="center" wrapText="1"/>
    </xf>
    <xf numFmtId="0" fontId="45" fillId="36" borderId="24" xfId="0" applyFont="1" applyFill="1" applyBorder="1" applyAlignment="1">
      <alignment horizontal="center" vertical="center" wrapText="1"/>
    </xf>
    <xf numFmtId="0" fontId="45" fillId="36" borderId="20" xfId="0" applyFont="1" applyFill="1" applyBorder="1" applyAlignment="1">
      <alignment horizontal="center" vertical="center" wrapText="1"/>
    </xf>
    <xf numFmtId="0" fontId="45" fillId="36" borderId="21" xfId="0" applyFont="1" applyFill="1" applyBorder="1" applyAlignment="1">
      <alignment horizontal="center" vertical="center" wrapText="1"/>
    </xf>
    <xf numFmtId="0" fontId="45" fillId="36" borderId="16" xfId="0" applyFont="1" applyFill="1" applyBorder="1" applyAlignment="1">
      <alignment horizontal="center" vertical="center" wrapText="1"/>
    </xf>
    <xf numFmtId="0" fontId="45" fillId="36" borderId="38" xfId="0" applyFont="1" applyFill="1" applyBorder="1" applyAlignment="1">
      <alignment horizontal="center" vertical="center" wrapText="1"/>
    </xf>
    <xf numFmtId="0" fontId="45" fillId="36" borderId="96" xfId="0" applyFont="1" applyFill="1" applyBorder="1" applyAlignment="1">
      <alignment horizontal="center" vertical="center" wrapText="1"/>
    </xf>
    <xf numFmtId="0" fontId="45" fillId="36" borderId="25" xfId="0" applyFont="1" applyFill="1" applyBorder="1" applyAlignment="1">
      <alignment horizontal="center" vertical="center" wrapText="1"/>
    </xf>
    <xf numFmtId="0" fontId="45" fillId="36" borderId="26" xfId="0" applyFont="1" applyFill="1" applyBorder="1" applyAlignment="1">
      <alignment horizontal="center" vertical="center" wrapText="1"/>
    </xf>
    <xf numFmtId="0" fontId="45" fillId="36" borderId="29" xfId="0" applyFont="1" applyFill="1" applyBorder="1" applyAlignment="1">
      <alignment horizontal="center" vertical="center" wrapText="1"/>
    </xf>
    <xf numFmtId="0" fontId="45" fillId="36" borderId="31" xfId="0" applyFont="1" applyFill="1" applyBorder="1" applyAlignment="1">
      <alignment horizontal="center" vertical="center" wrapText="1"/>
    </xf>
    <xf numFmtId="0" fontId="45" fillId="36" borderId="32" xfId="0" applyFont="1" applyFill="1" applyBorder="1" applyAlignment="1">
      <alignment horizontal="center" vertical="center" wrapText="1"/>
    </xf>
    <xf numFmtId="0" fontId="45" fillId="36" borderId="33" xfId="0" applyFont="1" applyFill="1" applyBorder="1" applyAlignment="1">
      <alignment horizontal="center" vertical="center" wrapText="1"/>
    </xf>
    <xf numFmtId="0" fontId="45" fillId="36" borderId="101" xfId="0" applyFont="1" applyFill="1" applyBorder="1" applyAlignment="1">
      <alignment horizontal="center" vertical="center" wrapText="1"/>
    </xf>
    <xf numFmtId="0" fontId="45" fillId="36" borderId="55" xfId="0" applyFont="1" applyFill="1" applyBorder="1" applyAlignment="1">
      <alignment horizontal="center" vertical="center" wrapText="1"/>
    </xf>
    <xf numFmtId="0" fontId="45" fillId="36" borderId="102" xfId="0" applyFont="1" applyFill="1" applyBorder="1" applyAlignment="1">
      <alignment horizontal="center" vertical="center" wrapText="1"/>
    </xf>
    <xf numFmtId="165" fontId="55" fillId="36" borderId="29" xfId="0" applyNumberFormat="1" applyFont="1" applyFill="1" applyBorder="1" applyAlignment="1">
      <alignment horizontal="center" vertical="center" wrapText="1"/>
    </xf>
    <xf numFmtId="165" fontId="55" fillId="36" borderId="31" xfId="0" applyNumberFormat="1" applyFont="1" applyFill="1" applyBorder="1" applyAlignment="1">
      <alignment horizontal="center" vertical="center" wrapText="1"/>
    </xf>
    <xf numFmtId="165" fontId="55" fillId="36" borderId="32" xfId="0" applyNumberFormat="1" applyFont="1" applyFill="1" applyBorder="1" applyAlignment="1">
      <alignment horizontal="center" vertical="center" wrapText="1"/>
    </xf>
    <xf numFmtId="165" fontId="55" fillId="36" borderId="33" xfId="0" applyNumberFormat="1" applyFont="1" applyFill="1" applyBorder="1" applyAlignment="1">
      <alignment horizontal="center" vertical="center" wrapText="1"/>
    </xf>
    <xf numFmtId="165" fontId="55" fillId="36" borderId="101" xfId="0" applyNumberFormat="1" applyFont="1" applyFill="1" applyBorder="1" applyAlignment="1">
      <alignment horizontal="center" vertical="center" wrapText="1"/>
    </xf>
    <xf numFmtId="165" fontId="55" fillId="36" borderId="102" xfId="0" applyNumberFormat="1" applyFont="1" applyFill="1" applyBorder="1" applyAlignment="1">
      <alignment horizontal="center" vertical="center" wrapText="1"/>
    </xf>
    <xf numFmtId="165" fontId="45" fillId="36" borderId="68" xfId="0" applyNumberFormat="1" applyFont="1" applyFill="1" applyBorder="1" applyAlignment="1">
      <alignment horizontal="center" vertical="center" wrapText="1"/>
    </xf>
    <xf numFmtId="165" fontId="45" fillId="36" borderId="62" xfId="0" applyNumberFormat="1" applyFont="1" applyFill="1" applyBorder="1" applyAlignment="1">
      <alignment horizontal="center" vertical="center" wrapText="1"/>
    </xf>
    <xf numFmtId="0" fontId="45" fillId="36" borderId="65" xfId="0" applyFont="1" applyFill="1" applyBorder="1" applyAlignment="1">
      <alignment horizontal="center" vertical="center" wrapText="1"/>
    </xf>
    <xf numFmtId="0" fontId="45" fillId="36" borderId="66" xfId="0" applyFont="1" applyFill="1" applyBorder="1" applyAlignment="1">
      <alignment horizontal="center" vertical="center" wrapText="1"/>
    </xf>
    <xf numFmtId="0" fontId="13" fillId="45" borderId="15" xfId="0" applyFont="1" applyFill="1" applyBorder="1" applyAlignment="1">
      <alignment horizontal="center" vertical="center"/>
    </xf>
  </cellXfs>
  <cellStyles count="45">
    <cellStyle name="20% - Énfasis1" xfId="21" builtinId="30" customBuiltin="1"/>
    <cellStyle name="20% - Énfasis2" xfId="25" builtinId="34" customBuiltin="1"/>
    <cellStyle name="20% - Énfasis3" xfId="29" builtinId="38" customBuiltin="1"/>
    <cellStyle name="20% - Énfasis4" xfId="33" builtinId="42" customBuiltin="1"/>
    <cellStyle name="20% - Énfasis5" xfId="37" builtinId="46" customBuiltin="1"/>
    <cellStyle name="20% - Énfasis6" xfId="41" builtinId="50" customBuiltin="1"/>
    <cellStyle name="40% - Énfasis1" xfId="22" builtinId="31" customBuiltin="1"/>
    <cellStyle name="40% - Énfasis2" xfId="26" builtinId="35" customBuiltin="1"/>
    <cellStyle name="40% - Énfasis3" xfId="30" builtinId="39" customBuiltin="1"/>
    <cellStyle name="40% - Énfasis4" xfId="34" builtinId="43" customBuiltin="1"/>
    <cellStyle name="40% - Énfasis5" xfId="38" builtinId="47" customBuiltin="1"/>
    <cellStyle name="40% - Énfasis6" xfId="42" builtinId="51" customBuiltin="1"/>
    <cellStyle name="60% - Énfasis1" xfId="23" builtinId="32" customBuiltin="1"/>
    <cellStyle name="60% - Énfasis2" xfId="27" builtinId="36" customBuiltin="1"/>
    <cellStyle name="60% - Énfasis3" xfId="31" builtinId="40" customBuiltin="1"/>
    <cellStyle name="60% - Énfasis4" xfId="35" builtinId="44" customBuiltin="1"/>
    <cellStyle name="60% - Énfasis5" xfId="39" builtinId="48" customBuiltin="1"/>
    <cellStyle name="60% - Énfasis6" xfId="43" builtinId="52" customBuiltin="1"/>
    <cellStyle name="Bueno" xfId="8" builtinId="26" customBuiltin="1"/>
    <cellStyle name="Cálculo" xfId="13" builtinId="22" customBuiltin="1"/>
    <cellStyle name="Celda de comprobación" xfId="15" builtinId="23" customBuiltin="1"/>
    <cellStyle name="Celda vinculada" xfId="14" builtinId="24" customBuiltin="1"/>
    <cellStyle name="Encabezado 1" xfId="4" builtinId="16" customBuiltin="1"/>
    <cellStyle name="Encabezado 4" xfId="7" builtinId="19" customBuiltin="1"/>
    <cellStyle name="Énfasis1" xfId="20" builtinId="29" customBuiltin="1"/>
    <cellStyle name="Énfasis2" xfId="24" builtinId="33" customBuiltin="1"/>
    <cellStyle name="Énfasis3" xfId="28" builtinId="37" customBuiltin="1"/>
    <cellStyle name="Énfasis4" xfId="32" builtinId="41" customBuiltin="1"/>
    <cellStyle name="Énfasis5" xfId="36" builtinId="45" customBuiltin="1"/>
    <cellStyle name="Énfasis6" xfId="40" builtinId="49" customBuiltin="1"/>
    <cellStyle name="Entrada" xfId="11" builtinId="20" customBuiltin="1"/>
    <cellStyle name="Incorrecto" xfId="9" builtinId="27" customBuiltin="1"/>
    <cellStyle name="Millares" xfId="1" builtinId="3"/>
    <cellStyle name="Moneda" xfId="44" builtinId="4"/>
    <cellStyle name="Neutral" xfId="10" builtinId="28" customBuiltin="1"/>
    <cellStyle name="Normal" xfId="0" builtinId="0"/>
    <cellStyle name="Notas" xfId="17" builtinId="10" customBuiltin="1"/>
    <cellStyle name="Porcentaje" xfId="2" builtinId="5"/>
    <cellStyle name="Salida" xfId="12" builtinId="21" customBuiltin="1"/>
    <cellStyle name="Texto de advertencia" xfId="16" builtinId="11" customBuiltin="1"/>
    <cellStyle name="Texto explicativo" xfId="18" builtinId="53" customBuiltin="1"/>
    <cellStyle name="Título" xfId="3" builtinId="15" customBuiltin="1"/>
    <cellStyle name="Título 2" xfId="5" builtinId="17" customBuiltin="1"/>
    <cellStyle name="Título 3" xfId="6" builtinId="18" customBuiltin="1"/>
    <cellStyle name="Total" xfId="19" builtinId="25" customBuiltin="1"/>
  </cellStyles>
  <dxfs count="1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66"/>
      <color rgb="FFFF9B9B"/>
      <color rgb="FFFFFF66"/>
      <color rgb="FFFF8B8B"/>
      <color rgb="FF003300"/>
      <color rgb="FF163738"/>
      <color rgb="FFFFAFAF"/>
      <color rgb="FFFFCDCD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avier Garcia" id="{C4B5742F-31CF-46C5-9822-2DE111F981E6}" userId="85ab8cae80ec88ed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B4" dT="2026-02-08T18:33:26.27" personId="{C4B5742F-31CF-46C5-9822-2DE111F981E6}" id="{D652C5B7-8E31-4000-8014-2A912F46642C}">
    <text xml:space="preserve">Incluye areas comunes privadas, circulacion escaleras, etc. 
</text>
  </threadedComment>
</ThreadedComment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833FB-38D2-4678-8391-D0350380367A}">
  <dimension ref="A1:I54"/>
  <sheetViews>
    <sheetView topLeftCell="A28" zoomScale="145" zoomScaleNormal="145" workbookViewId="0">
      <selection activeCell="E9" sqref="E9"/>
    </sheetView>
  </sheetViews>
  <sheetFormatPr defaultColWidth="11.375" defaultRowHeight="13.15"/>
  <cols>
    <col min="1" max="1" width="4.25" style="489" bestFit="1" customWidth="1"/>
    <col min="2" max="2" width="43.75" style="490" bestFit="1" customWidth="1"/>
    <col min="3" max="3" width="11.375" style="490"/>
    <col min="4" max="6" width="16.25" style="490" bestFit="1" customWidth="1"/>
    <col min="7" max="7" width="14.75" style="490" bestFit="1" customWidth="1"/>
    <col min="8" max="8" width="11.375" style="490"/>
    <col min="9" max="9" width="14.125" style="490" bestFit="1" customWidth="1"/>
    <col min="10" max="16384" width="11.375" style="490"/>
  </cols>
  <sheetData>
    <row r="1" spans="1:7" s="489" customFormat="1">
      <c r="A1" s="493" t="s">
        <v>0</v>
      </c>
      <c r="B1" s="493" t="s">
        <v>1</v>
      </c>
      <c r="C1" s="493" t="s">
        <v>2</v>
      </c>
      <c r="D1" s="493" t="s">
        <v>3</v>
      </c>
      <c r="E1" s="494"/>
      <c r="F1" s="494"/>
      <c r="G1" s="494"/>
    </row>
    <row r="2" spans="1:7">
      <c r="A2" s="495">
        <v>1</v>
      </c>
      <c r="B2" s="496" t="s">
        <v>4</v>
      </c>
      <c r="C2" s="497"/>
      <c r="D2" s="498">
        <v>2600000</v>
      </c>
      <c r="E2" s="497"/>
      <c r="F2" s="497"/>
      <c r="G2" s="497"/>
    </row>
    <row r="3" spans="1:7">
      <c r="A3" s="495">
        <v>2</v>
      </c>
      <c r="B3" s="497" t="s">
        <v>5</v>
      </c>
      <c r="C3" s="499">
        <v>5.8099999999999999E-2</v>
      </c>
      <c r="D3" s="497"/>
      <c r="E3" s="497"/>
      <c r="F3" s="497"/>
      <c r="G3" s="497"/>
    </row>
    <row r="4" spans="1:7">
      <c r="A4" s="495">
        <v>3</v>
      </c>
      <c r="B4" s="497" t="s">
        <v>6</v>
      </c>
      <c r="C4" s="499">
        <v>6.8199999999999997E-2</v>
      </c>
      <c r="D4" s="497"/>
      <c r="E4" s="497"/>
      <c r="F4" s="497"/>
      <c r="G4" s="497"/>
    </row>
    <row r="5" spans="1:7">
      <c r="A5" s="495">
        <v>4</v>
      </c>
      <c r="B5" s="497" t="s">
        <v>7</v>
      </c>
      <c r="C5" s="499">
        <f>SUM(C3:C4)</f>
        <v>0.1263</v>
      </c>
      <c r="D5" s="497"/>
      <c r="E5" s="497"/>
      <c r="F5" s="497"/>
      <c r="G5" s="497"/>
    </row>
    <row r="6" spans="1:7">
      <c r="A6" s="495"/>
      <c r="B6" s="497"/>
      <c r="C6" s="499"/>
      <c r="D6" s="493" t="s">
        <v>8</v>
      </c>
      <c r="E6" s="493" t="s">
        <v>9</v>
      </c>
      <c r="F6" s="493" t="s">
        <v>10</v>
      </c>
      <c r="G6" s="493" t="s">
        <v>11</v>
      </c>
    </row>
    <row r="7" spans="1:7">
      <c r="A7" s="495">
        <v>5</v>
      </c>
      <c r="B7" s="497" t="s">
        <v>12</v>
      </c>
      <c r="C7" s="497"/>
      <c r="D7" s="500">
        <v>1394257</v>
      </c>
      <c r="E7" s="500">
        <v>1974962</v>
      </c>
      <c r="F7" s="500">
        <v>1124998</v>
      </c>
      <c r="G7" s="500">
        <v>670000</v>
      </c>
    </row>
    <row r="8" spans="1:7">
      <c r="A8" s="495"/>
      <c r="B8" s="497">
        <v>2019</v>
      </c>
      <c r="C8" s="501">
        <v>2.8000000000000001E-2</v>
      </c>
      <c r="D8" s="498">
        <f>D7*(1+C8)</f>
        <v>1433296.196</v>
      </c>
      <c r="E8" s="502">
        <f>E7*(1+C8)</f>
        <v>2030260.936</v>
      </c>
      <c r="F8" s="502">
        <f>F7*(1+C8)</f>
        <v>1156497.9440000001</v>
      </c>
      <c r="G8" s="502">
        <f>G7*(1+C8)</f>
        <v>688760</v>
      </c>
    </row>
    <row r="9" spans="1:7">
      <c r="A9" s="495"/>
      <c r="B9" s="497">
        <v>2020</v>
      </c>
      <c r="C9" s="501">
        <v>4.2599999999999999E-2</v>
      </c>
      <c r="D9" s="498">
        <f t="shared" ref="D9:D14" si="0">D8*(1+C9)</f>
        <v>1494354.6139495999</v>
      </c>
      <c r="E9" s="502">
        <f t="shared" ref="E9:E14" si="1">E8*(1+C9)</f>
        <v>2116750.0518736001</v>
      </c>
      <c r="F9" s="502">
        <f t="shared" ref="F9:F14" si="2">F8*(1+C9)</f>
        <v>1205764.7564144002</v>
      </c>
      <c r="G9" s="502">
        <f t="shared" ref="G9:G14" si="3">G8*(1+C9)</f>
        <v>718101.17599999998</v>
      </c>
    </row>
    <row r="10" spans="1:7">
      <c r="A10" s="495"/>
      <c r="B10" s="497">
        <v>2021</v>
      </c>
      <c r="C10" s="501">
        <v>7.0999999999999994E-2</v>
      </c>
      <c r="D10" s="498">
        <f t="shared" si="0"/>
        <v>1600453.7915400215</v>
      </c>
      <c r="E10" s="502">
        <f t="shared" si="1"/>
        <v>2267039.3055566256</v>
      </c>
      <c r="F10" s="502">
        <f t="shared" si="2"/>
        <v>1291374.0541198226</v>
      </c>
      <c r="G10" s="502">
        <f t="shared" si="3"/>
        <v>769086.35949599999</v>
      </c>
    </row>
    <row r="11" spans="1:7">
      <c r="A11" s="495"/>
      <c r="B11" s="497">
        <v>2022</v>
      </c>
      <c r="C11" s="501">
        <v>0.10780000000000001</v>
      </c>
      <c r="D11" s="498">
        <f t="shared" si="0"/>
        <v>1772982.710268036</v>
      </c>
      <c r="E11" s="502">
        <f t="shared" si="1"/>
        <v>2511426.14269563</v>
      </c>
      <c r="F11" s="502">
        <f t="shared" si="2"/>
        <v>1430584.1771539396</v>
      </c>
      <c r="G11" s="502">
        <f t="shared" si="3"/>
        <v>851993.86904966889</v>
      </c>
    </row>
    <row r="12" spans="1:7">
      <c r="A12" s="495"/>
      <c r="B12" s="497">
        <v>2023</v>
      </c>
      <c r="C12" s="501">
        <v>7.51E-2</v>
      </c>
      <c r="D12" s="498">
        <f t="shared" si="0"/>
        <v>1906133.7118091653</v>
      </c>
      <c r="E12" s="502">
        <f t="shared" si="1"/>
        <v>2700034.2460120716</v>
      </c>
      <c r="F12" s="502">
        <f t="shared" si="2"/>
        <v>1538021.0488582004</v>
      </c>
      <c r="G12" s="502">
        <f t="shared" si="3"/>
        <v>915978.60861529899</v>
      </c>
    </row>
    <row r="13" spans="1:7">
      <c r="A13" s="495"/>
      <c r="B13" s="497">
        <v>2024</v>
      </c>
      <c r="C13" s="501">
        <v>4.3799999999999999E-2</v>
      </c>
      <c r="D13" s="498">
        <f t="shared" si="0"/>
        <v>1989622.3683864069</v>
      </c>
      <c r="E13" s="502">
        <f t="shared" si="1"/>
        <v>2818295.7459874004</v>
      </c>
      <c r="F13" s="502">
        <f t="shared" si="2"/>
        <v>1605386.3707981897</v>
      </c>
      <c r="G13" s="502">
        <f t="shared" si="3"/>
        <v>956098.47167264915</v>
      </c>
    </row>
    <row r="14" spans="1:7">
      <c r="A14" s="495"/>
      <c r="B14" s="497">
        <v>2025</v>
      </c>
      <c r="C14" s="501">
        <v>3.5299999999999998E-2</v>
      </c>
      <c r="D14" s="498">
        <f t="shared" si="0"/>
        <v>2059856.0379904469</v>
      </c>
      <c r="E14" s="502">
        <f t="shared" si="1"/>
        <v>2917781.5858207555</v>
      </c>
      <c r="F14" s="502">
        <f t="shared" si="2"/>
        <v>1662056.5096873655</v>
      </c>
      <c r="G14" s="502">
        <f t="shared" si="3"/>
        <v>989848.7477226936</v>
      </c>
    </row>
    <row r="15" spans="1:7">
      <c r="A15" s="495"/>
      <c r="B15" s="497"/>
      <c r="C15" s="501"/>
      <c r="D15" s="498"/>
      <c r="E15" s="502"/>
      <c r="F15" s="502"/>
      <c r="G15" s="502"/>
    </row>
    <row r="16" spans="1:7">
      <c r="A16" s="495"/>
      <c r="B16" s="497"/>
      <c r="C16" s="501"/>
      <c r="D16" s="498"/>
      <c r="E16" s="502"/>
      <c r="F16" s="502"/>
      <c r="G16" s="502"/>
    </row>
    <row r="17" spans="1:7">
      <c r="A17" s="493" t="s">
        <v>0</v>
      </c>
      <c r="B17" s="503" t="s">
        <v>1</v>
      </c>
      <c r="C17" s="504" t="s">
        <v>13</v>
      </c>
      <c r="D17" s="505" t="s">
        <v>14</v>
      </c>
      <c r="E17" s="502"/>
      <c r="F17" s="502"/>
      <c r="G17" s="502"/>
    </row>
    <row r="18" spans="1:7">
      <c r="A18" s="495">
        <v>6</v>
      </c>
      <c r="B18" s="497" t="s">
        <v>15</v>
      </c>
      <c r="C18" s="497"/>
      <c r="D18" s="498"/>
      <c r="E18" s="497"/>
      <c r="F18" s="497"/>
      <c r="G18" s="497"/>
    </row>
    <row r="19" spans="1:7">
      <c r="A19" s="495">
        <v>7</v>
      </c>
      <c r="B19" s="497" t="s">
        <v>16</v>
      </c>
      <c r="C19" s="506">
        <v>0.1</v>
      </c>
      <c r="D19" s="497"/>
      <c r="E19" s="497"/>
      <c r="F19" s="497"/>
      <c r="G19" s="497"/>
    </row>
    <row r="20" spans="1:7">
      <c r="A20" s="495">
        <v>8</v>
      </c>
      <c r="B20" s="497" t="s">
        <v>17</v>
      </c>
      <c r="C20" s="506">
        <v>0.15</v>
      </c>
      <c r="D20" s="497"/>
      <c r="E20" s="497"/>
      <c r="F20" s="497"/>
      <c r="G20" s="497"/>
    </row>
    <row r="21" spans="1:7">
      <c r="A21" s="495"/>
      <c r="B21" s="497"/>
      <c r="C21" s="497"/>
      <c r="D21" s="497"/>
      <c r="E21" s="497"/>
      <c r="F21" s="497"/>
      <c r="G21" s="497"/>
    </row>
    <row r="22" spans="1:7">
      <c r="A22" s="495">
        <v>9</v>
      </c>
      <c r="B22" s="497" t="s">
        <v>18</v>
      </c>
      <c r="C22" s="507">
        <v>70890.97</v>
      </c>
      <c r="D22" s="497"/>
      <c r="E22" s="497"/>
      <c r="F22" s="497"/>
      <c r="G22" s="497"/>
    </row>
    <row r="23" spans="1:7">
      <c r="A23" s="495">
        <v>10</v>
      </c>
      <c r="B23" s="497" t="s">
        <v>19</v>
      </c>
      <c r="C23" s="507">
        <v>4363</v>
      </c>
      <c r="D23" s="497"/>
      <c r="E23" s="497"/>
      <c r="F23" s="497"/>
      <c r="G23" s="497"/>
    </row>
    <row r="24" spans="1:7">
      <c r="A24" s="495"/>
      <c r="B24" s="497"/>
      <c r="C24" s="497"/>
      <c r="D24" s="497"/>
      <c r="E24" s="497"/>
      <c r="F24" s="497"/>
      <c r="G24" s="497"/>
    </row>
    <row r="25" spans="1:7">
      <c r="A25" s="495">
        <v>11</v>
      </c>
      <c r="B25" s="497" t="s">
        <v>20</v>
      </c>
      <c r="C25" s="497"/>
      <c r="D25" s="497" t="s">
        <v>21</v>
      </c>
      <c r="E25" s="497"/>
      <c r="F25" s="497"/>
      <c r="G25" s="497"/>
    </row>
    <row r="26" spans="1:7">
      <c r="A26" s="495">
        <v>12</v>
      </c>
      <c r="B26" s="497" t="s">
        <v>22</v>
      </c>
      <c r="C26" s="495"/>
      <c r="D26" s="508">
        <v>2200000</v>
      </c>
      <c r="E26" s="497"/>
      <c r="F26" s="497"/>
      <c r="G26" s="497"/>
    </row>
    <row r="27" spans="1:7">
      <c r="A27" s="495">
        <v>13</v>
      </c>
      <c r="B27" s="497" t="s">
        <v>23</v>
      </c>
      <c r="C27" s="495"/>
      <c r="D27" s="508">
        <v>2800000</v>
      </c>
      <c r="E27" s="497"/>
      <c r="F27" s="497"/>
      <c r="G27" s="497"/>
    </row>
    <row r="28" spans="1:7">
      <c r="A28" s="495">
        <v>14</v>
      </c>
      <c r="B28" s="497" t="s">
        <v>24</v>
      </c>
      <c r="C28" s="495"/>
      <c r="D28" s="508">
        <v>0</v>
      </c>
      <c r="E28" s="497"/>
      <c r="F28" s="497"/>
      <c r="G28" s="497"/>
    </row>
    <row r="29" spans="1:7">
      <c r="A29" s="495">
        <v>15</v>
      </c>
      <c r="B29" s="497" t="s">
        <v>25</v>
      </c>
      <c r="C29" s="495"/>
      <c r="D29" s="508">
        <v>1900000</v>
      </c>
      <c r="E29" s="497"/>
      <c r="F29" s="497"/>
      <c r="G29" s="497"/>
    </row>
    <row r="30" spans="1:7">
      <c r="A30" s="495">
        <v>16</v>
      </c>
      <c r="B30" s="497" t="s">
        <v>26</v>
      </c>
      <c r="C30" s="495"/>
      <c r="D30" s="508">
        <v>1100000</v>
      </c>
      <c r="E30" s="497"/>
      <c r="F30" s="497"/>
      <c r="G30" s="497"/>
    </row>
    <row r="31" spans="1:7">
      <c r="A31" s="495">
        <v>17</v>
      </c>
      <c r="B31" s="497" t="s">
        <v>27</v>
      </c>
      <c r="C31" s="495"/>
      <c r="D31" s="508">
        <v>2800000</v>
      </c>
      <c r="E31" s="497"/>
      <c r="F31" s="497"/>
      <c r="G31" s="497"/>
    </row>
    <row r="32" spans="1:7">
      <c r="A32" s="495">
        <v>18</v>
      </c>
      <c r="B32" s="497" t="s">
        <v>28</v>
      </c>
      <c r="C32" s="495"/>
      <c r="D32" s="508">
        <v>2500000</v>
      </c>
      <c r="E32" s="497"/>
      <c r="F32" s="497"/>
      <c r="G32" s="497"/>
    </row>
    <row r="33" spans="1:9">
      <c r="A33" s="495">
        <v>19</v>
      </c>
      <c r="B33" s="497" t="s">
        <v>29</v>
      </c>
      <c r="C33" s="495"/>
      <c r="D33" s="508">
        <v>3200000</v>
      </c>
      <c r="E33" s="497"/>
      <c r="F33" s="497"/>
      <c r="G33" s="497"/>
    </row>
    <row r="34" spans="1:9">
      <c r="A34" s="495">
        <v>20</v>
      </c>
      <c r="B34" s="497" t="s">
        <v>30</v>
      </c>
      <c r="C34" s="497"/>
      <c r="D34" s="508">
        <v>0</v>
      </c>
      <c r="E34" s="497"/>
      <c r="F34" s="497"/>
      <c r="G34" s="497"/>
    </row>
    <row r="35" spans="1:9">
      <c r="A35" s="495"/>
      <c r="B35" s="497"/>
      <c r="C35" s="497"/>
      <c r="D35" s="497"/>
      <c r="E35" s="497"/>
      <c r="F35" s="497"/>
      <c r="G35" s="497"/>
    </row>
    <row r="36" spans="1:9">
      <c r="A36" s="495"/>
      <c r="B36" s="497" t="s">
        <v>31</v>
      </c>
      <c r="C36" s="497"/>
      <c r="D36" s="497"/>
      <c r="E36" s="497"/>
      <c r="F36" s="497"/>
      <c r="G36" s="497"/>
    </row>
    <row r="37" spans="1:9">
      <c r="A37" s="495">
        <v>21</v>
      </c>
      <c r="B37" s="497" t="s">
        <v>32</v>
      </c>
      <c r="C37" s="497"/>
      <c r="D37" s="508">
        <v>719000</v>
      </c>
      <c r="E37" s="497" t="s">
        <v>33</v>
      </c>
      <c r="F37" s="497"/>
      <c r="G37" s="497"/>
    </row>
    <row r="38" spans="1:9">
      <c r="A38" s="495">
        <v>22</v>
      </c>
      <c r="B38" s="497" t="s">
        <v>34</v>
      </c>
      <c r="C38" s="497"/>
      <c r="D38" s="508">
        <v>200000</v>
      </c>
      <c r="E38" s="497" t="s">
        <v>35</v>
      </c>
      <c r="F38" s="497"/>
      <c r="G38" s="497"/>
    </row>
    <row r="39" spans="1:9">
      <c r="A39" s="495">
        <v>23</v>
      </c>
      <c r="B39" s="497" t="s">
        <v>36</v>
      </c>
      <c r="C39" s="497"/>
      <c r="D39" s="508">
        <v>2170000</v>
      </c>
      <c r="E39" s="497" t="s">
        <v>33</v>
      </c>
      <c r="F39" s="497"/>
      <c r="G39" s="497"/>
    </row>
    <row r="40" spans="1:9">
      <c r="A40" s="495"/>
      <c r="B40" s="497"/>
      <c r="C40" s="497"/>
      <c r="D40" s="497"/>
      <c r="E40" s="497"/>
      <c r="F40" s="497"/>
      <c r="G40" s="497"/>
    </row>
    <row r="41" spans="1:9">
      <c r="A41" s="495">
        <v>24</v>
      </c>
      <c r="B41" s="497" t="s">
        <v>37</v>
      </c>
      <c r="C41" s="497"/>
      <c r="D41" s="497"/>
      <c r="E41" s="497"/>
      <c r="F41" s="497"/>
      <c r="G41" s="497"/>
    </row>
    <row r="42" spans="1:9">
      <c r="A42" s="495">
        <v>25</v>
      </c>
      <c r="B42" s="497" t="s">
        <v>38</v>
      </c>
      <c r="C42" s="497"/>
      <c r="D42" s="508">
        <v>2881206.25</v>
      </c>
      <c r="E42" s="495" t="s">
        <v>39</v>
      </c>
      <c r="F42" s="499"/>
      <c r="G42" s="499"/>
      <c r="H42" s="491"/>
      <c r="I42" s="492"/>
    </row>
    <row r="43" spans="1:9">
      <c r="A43" s="495">
        <v>26</v>
      </c>
      <c r="B43" s="497" t="s">
        <v>40</v>
      </c>
      <c r="C43" s="497"/>
      <c r="D43" s="508">
        <v>3472790.83</v>
      </c>
      <c r="E43" s="495" t="s">
        <v>39</v>
      </c>
      <c r="F43" s="499"/>
      <c r="G43" s="499"/>
      <c r="H43" s="491"/>
      <c r="I43" s="492"/>
    </row>
    <row r="44" spans="1:9">
      <c r="A44" s="495">
        <v>27</v>
      </c>
      <c r="B44" s="497" t="s">
        <v>41</v>
      </c>
      <c r="C44" s="497"/>
      <c r="D44" s="499">
        <v>5.8099999999999999E-2</v>
      </c>
      <c r="E44" s="495"/>
      <c r="F44" s="497"/>
      <c r="G44" s="497"/>
    </row>
    <row r="45" spans="1:9">
      <c r="A45" s="495">
        <v>28</v>
      </c>
      <c r="B45" s="497" t="s">
        <v>42</v>
      </c>
      <c r="C45" s="497"/>
      <c r="D45" s="499">
        <v>6.8199999999999997E-2</v>
      </c>
      <c r="E45" s="495"/>
      <c r="F45" s="497"/>
      <c r="G45" s="497"/>
    </row>
    <row r="46" spans="1:9">
      <c r="A46" s="495">
        <v>29</v>
      </c>
      <c r="B46" s="497" t="s">
        <v>43</v>
      </c>
      <c r="C46" s="497"/>
      <c r="D46" s="499">
        <f>SUM(D44:D45)</f>
        <v>0.1263</v>
      </c>
      <c r="E46" s="495"/>
      <c r="F46" s="497"/>
      <c r="G46" s="497"/>
    </row>
    <row r="47" spans="1:9">
      <c r="A47" s="495">
        <v>30</v>
      </c>
      <c r="B47" s="497" t="s">
        <v>44</v>
      </c>
      <c r="C47" s="497"/>
      <c r="D47" s="498">
        <f>D42*(1+D46)</f>
        <v>3245102.5993750002</v>
      </c>
      <c r="E47" s="495" t="s">
        <v>39</v>
      </c>
      <c r="F47" s="497"/>
      <c r="G47" s="497"/>
    </row>
    <row r="48" spans="1:9">
      <c r="A48" s="495">
        <v>31</v>
      </c>
      <c r="B48" s="497" t="s">
        <v>45</v>
      </c>
      <c r="C48" s="497"/>
      <c r="D48" s="498">
        <v>3535000</v>
      </c>
      <c r="E48" s="495" t="s">
        <v>39</v>
      </c>
      <c r="F48" s="497"/>
      <c r="G48" s="497"/>
    </row>
    <row r="49" spans="1:8">
      <c r="A49" s="495">
        <v>32</v>
      </c>
      <c r="B49" s="497" t="s">
        <v>46</v>
      </c>
      <c r="C49" s="497"/>
      <c r="D49" s="497"/>
      <c r="E49" s="497"/>
      <c r="F49" s="499"/>
      <c r="G49" s="499"/>
      <c r="H49" s="491"/>
    </row>
    <row r="50" spans="1:8">
      <c r="A50" s="495"/>
      <c r="B50" s="497"/>
      <c r="C50" s="497"/>
      <c r="D50" s="497"/>
      <c r="E50" s="497"/>
      <c r="F50" s="497"/>
      <c r="G50" s="497"/>
    </row>
    <row r="51" spans="1:8">
      <c r="A51" s="495"/>
      <c r="B51" s="497" t="s">
        <v>47</v>
      </c>
      <c r="C51" s="497"/>
      <c r="D51" s="497"/>
      <c r="E51" s="497"/>
      <c r="F51" s="497"/>
      <c r="G51" s="497"/>
    </row>
    <row r="52" spans="1:8">
      <c r="A52" s="495">
        <v>26</v>
      </c>
      <c r="B52" s="497" t="s">
        <v>48</v>
      </c>
      <c r="C52" s="497">
        <v>0</v>
      </c>
      <c r="D52" s="497" t="s">
        <v>49</v>
      </c>
      <c r="E52" s="497"/>
      <c r="F52" s="497"/>
      <c r="G52" s="497"/>
    </row>
    <row r="53" spans="1:8">
      <c r="A53" s="495">
        <v>27</v>
      </c>
      <c r="B53" s="497" t="s">
        <v>50</v>
      </c>
      <c r="C53" s="506">
        <v>0.1</v>
      </c>
      <c r="D53" s="497" t="s">
        <v>51</v>
      </c>
      <c r="E53" s="497"/>
      <c r="F53" s="497"/>
      <c r="G53" s="497"/>
    </row>
    <row r="54" spans="1:8">
      <c r="A54" s="495">
        <v>28</v>
      </c>
      <c r="B54" s="497" t="s">
        <v>52</v>
      </c>
      <c r="C54" s="506">
        <v>0.15</v>
      </c>
      <c r="D54" s="497" t="s">
        <v>51</v>
      </c>
      <c r="E54" s="497"/>
      <c r="F54" s="497"/>
      <c r="G54" s="497"/>
    </row>
  </sheetData>
  <pageMargins left="0.7" right="0.7" top="0.75" bottom="0.75" header="0.3" footer="0.3"/>
  <ignoredErrors>
    <ignoredError sqref="D4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4CF28-AC94-460B-B0FA-E93D826BF1D7}">
  <dimension ref="A1:F82"/>
  <sheetViews>
    <sheetView zoomScaleNormal="100" workbookViewId="0">
      <pane xSplit="1" ySplit="3" topLeftCell="B4" activePane="bottomRight" state="frozen"/>
      <selection pane="bottomRight" sqref="A1:E1"/>
      <selection pane="bottomLeft" activeCell="A4" sqref="A4"/>
      <selection pane="topRight" activeCell="B1" sqref="B1"/>
    </sheetView>
  </sheetViews>
  <sheetFormatPr defaultColWidth="11.375" defaultRowHeight="13.9"/>
  <cols>
    <col min="1" max="1" width="4.75" style="25" bestFit="1" customWidth="1"/>
    <col min="2" max="2" width="56" style="107" bestFit="1" customWidth="1"/>
    <col min="3" max="3" width="3.875" style="25" bestFit="1" customWidth="1"/>
    <col min="4" max="4" width="6.625" style="169" bestFit="1" customWidth="1"/>
    <col min="5" max="5" width="7.25" style="25" bestFit="1" customWidth="1"/>
    <col min="6" max="16384" width="11.375" style="107"/>
  </cols>
  <sheetData>
    <row r="1" spans="1:5">
      <c r="A1" s="1504" t="s">
        <v>53</v>
      </c>
      <c r="B1" s="1504"/>
      <c r="C1" s="1504"/>
      <c r="D1" s="1504"/>
      <c r="E1" s="1504"/>
    </row>
    <row r="2" spans="1:5">
      <c r="A2" s="1504" t="s">
        <v>0</v>
      </c>
      <c r="B2" s="1504" t="s">
        <v>54</v>
      </c>
      <c r="C2" s="1504"/>
      <c r="D2" s="1504" t="s">
        <v>2</v>
      </c>
      <c r="E2" s="1504"/>
    </row>
    <row r="3" spans="1:5">
      <c r="A3" s="1504"/>
      <c r="B3" s="1504"/>
      <c r="C3" s="1504"/>
      <c r="D3" s="510" t="s">
        <v>55</v>
      </c>
      <c r="E3" s="509" t="s">
        <v>56</v>
      </c>
    </row>
    <row r="4" spans="1:5">
      <c r="A4" s="195"/>
      <c r="B4" s="197"/>
      <c r="C4" s="195"/>
      <c r="D4" s="514"/>
      <c r="E4" s="195"/>
    </row>
    <row r="5" spans="1:5">
      <c r="A5" s="195"/>
      <c r="B5" s="197" t="s">
        <v>57</v>
      </c>
      <c r="C5" s="195"/>
      <c r="D5" s="514">
        <v>0</v>
      </c>
      <c r="E5" s="195" t="s">
        <v>58</v>
      </c>
    </row>
    <row r="6" spans="1:5">
      <c r="A6" s="195"/>
      <c r="B6" s="197"/>
      <c r="C6" s="195"/>
      <c r="D6" s="514"/>
      <c r="E6" s="195"/>
    </row>
    <row r="7" spans="1:5">
      <c r="A7" s="195"/>
      <c r="B7" s="202" t="s">
        <v>59</v>
      </c>
      <c r="C7" s="192"/>
      <c r="D7" s="514"/>
      <c r="E7" s="195"/>
    </row>
    <row r="8" spans="1:5">
      <c r="A8" s="195"/>
      <c r="B8" s="202" t="s">
        <v>60</v>
      </c>
      <c r="C8" s="192"/>
      <c r="D8" s="514"/>
      <c r="E8" s="195"/>
    </row>
    <row r="9" spans="1:5">
      <c r="A9" s="195" t="s">
        <v>61</v>
      </c>
      <c r="B9" s="197" t="s">
        <v>62</v>
      </c>
      <c r="C9" s="195" t="s">
        <v>63</v>
      </c>
      <c r="D9" s="272">
        <v>0.65</v>
      </c>
      <c r="E9" s="195" t="s">
        <v>64</v>
      </c>
    </row>
    <row r="10" spans="1:5">
      <c r="A10" s="195" t="s">
        <v>65</v>
      </c>
      <c r="B10" s="197" t="s">
        <v>66</v>
      </c>
      <c r="C10" s="195" t="s">
        <v>63</v>
      </c>
      <c r="D10" s="514" t="s">
        <v>67</v>
      </c>
      <c r="E10" s="195"/>
    </row>
    <row r="11" spans="1:5" ht="27.6">
      <c r="A11" s="195" t="s">
        <v>68</v>
      </c>
      <c r="B11" s="197" t="s">
        <v>69</v>
      </c>
      <c r="C11" s="195" t="s">
        <v>63</v>
      </c>
      <c r="D11" s="272">
        <v>0.03</v>
      </c>
      <c r="E11" s="195" t="s">
        <v>64</v>
      </c>
    </row>
    <row r="12" spans="1:5">
      <c r="A12" s="195"/>
      <c r="B12" s="197" t="s">
        <v>70</v>
      </c>
      <c r="C12" s="195" t="s">
        <v>71</v>
      </c>
      <c r="D12" s="272" t="s">
        <v>67</v>
      </c>
      <c r="E12" s="195"/>
    </row>
    <row r="13" spans="1:5" ht="41.45">
      <c r="A13" s="195" t="s">
        <v>72</v>
      </c>
      <c r="B13" s="197" t="s">
        <v>73</v>
      </c>
      <c r="C13" s="195" t="s">
        <v>71</v>
      </c>
      <c r="D13" s="514"/>
      <c r="E13" s="195"/>
    </row>
    <row r="14" spans="1:5" ht="27.6">
      <c r="A14" s="195" t="s">
        <v>74</v>
      </c>
      <c r="B14" s="197" t="s">
        <v>75</v>
      </c>
      <c r="C14" s="195" t="s">
        <v>63</v>
      </c>
      <c r="D14" s="272">
        <v>0.2</v>
      </c>
      <c r="E14" s="195" t="s">
        <v>76</v>
      </c>
    </row>
    <row r="15" spans="1:5" ht="41.45">
      <c r="A15" s="195" t="s">
        <v>77</v>
      </c>
      <c r="B15" s="197" t="s">
        <v>78</v>
      </c>
      <c r="C15" s="195" t="s">
        <v>71</v>
      </c>
      <c r="D15" s="514"/>
      <c r="E15" s="195"/>
    </row>
    <row r="16" spans="1:5" ht="27.6">
      <c r="A16" s="195" t="s">
        <v>79</v>
      </c>
      <c r="B16" s="197" t="s">
        <v>80</v>
      </c>
      <c r="C16" s="195" t="s">
        <v>63</v>
      </c>
      <c r="D16" s="514"/>
      <c r="E16" s="195"/>
    </row>
    <row r="17" spans="1:6">
      <c r="A17" s="195" t="s">
        <v>81</v>
      </c>
      <c r="B17" s="197" t="s">
        <v>82</v>
      </c>
      <c r="C17" s="195" t="s">
        <v>63</v>
      </c>
      <c r="D17" s="514"/>
      <c r="E17" s="195"/>
    </row>
    <row r="18" spans="1:6">
      <c r="A18" s="195"/>
      <c r="B18" s="197"/>
      <c r="C18" s="195"/>
      <c r="D18" s="514"/>
      <c r="E18" s="195"/>
    </row>
    <row r="19" spans="1:6">
      <c r="A19" s="195"/>
      <c r="B19" s="202" t="s">
        <v>83</v>
      </c>
      <c r="C19" s="195"/>
      <c r="D19" s="514">
        <v>7</v>
      </c>
      <c r="E19" s="195"/>
    </row>
    <row r="20" spans="1:6">
      <c r="A20" s="195"/>
      <c r="B20" s="197"/>
      <c r="C20" s="195"/>
      <c r="D20" s="514"/>
      <c r="E20" s="195"/>
    </row>
    <row r="21" spans="1:6">
      <c r="A21" s="195"/>
      <c r="B21" s="197" t="s">
        <v>84</v>
      </c>
      <c r="C21" s="195"/>
      <c r="D21" s="514"/>
      <c r="E21" s="195"/>
    </row>
    <row r="22" spans="1:6">
      <c r="A22" s="195"/>
      <c r="B22" s="197" t="s">
        <v>85</v>
      </c>
      <c r="C22" s="195"/>
      <c r="D22" s="272">
        <v>0.1</v>
      </c>
      <c r="E22" s="195"/>
    </row>
    <row r="23" spans="1:6">
      <c r="A23" s="195"/>
      <c r="B23" s="197" t="s">
        <v>17</v>
      </c>
      <c r="C23" s="195"/>
      <c r="D23" s="272">
        <v>0.15</v>
      </c>
      <c r="E23" s="195"/>
    </row>
    <row r="24" spans="1:6">
      <c r="A24" s="195"/>
      <c r="B24" s="197"/>
      <c r="C24" s="195"/>
      <c r="D24" s="514"/>
      <c r="E24" s="195"/>
    </row>
    <row r="25" spans="1:6">
      <c r="A25" s="195"/>
      <c r="B25" s="197" t="s">
        <v>86</v>
      </c>
      <c r="C25" s="195"/>
      <c r="D25" s="273">
        <v>0.08</v>
      </c>
      <c r="E25" s="195"/>
    </row>
    <row r="26" spans="1:6">
      <c r="A26" s="195"/>
      <c r="B26" s="197"/>
      <c r="C26" s="195"/>
      <c r="D26" s="514"/>
      <c r="E26" s="195"/>
    </row>
    <row r="27" spans="1:6">
      <c r="A27" s="195"/>
      <c r="B27" s="197" t="s">
        <v>87</v>
      </c>
      <c r="C27" s="195"/>
      <c r="D27" s="514">
        <v>109</v>
      </c>
      <c r="E27" s="195" t="s">
        <v>58</v>
      </c>
    </row>
    <row r="28" spans="1:6">
      <c r="A28" s="195"/>
      <c r="B28" s="197"/>
      <c r="C28" s="195"/>
      <c r="D28" s="514"/>
      <c r="E28" s="195"/>
    </row>
    <row r="29" spans="1:6">
      <c r="A29" s="195"/>
      <c r="B29" s="197" t="s">
        <v>88</v>
      </c>
      <c r="C29" s="195"/>
      <c r="D29" s="514"/>
      <c r="E29" s="195"/>
    </row>
    <row r="30" spans="1:6">
      <c r="A30" s="195"/>
      <c r="B30" s="197"/>
      <c r="C30" s="195"/>
      <c r="D30" s="514"/>
      <c r="E30" s="195"/>
    </row>
    <row r="31" spans="1:6">
      <c r="A31" s="195"/>
      <c r="B31" s="202" t="s">
        <v>89</v>
      </c>
      <c r="C31" s="195"/>
      <c r="D31" s="514"/>
      <c r="E31" s="195"/>
      <c r="F31" s="107" t="s">
        <v>90</v>
      </c>
    </row>
    <row r="32" spans="1:6">
      <c r="A32" s="195"/>
      <c r="B32" s="202" t="s">
        <v>91</v>
      </c>
      <c r="C32" s="195" t="s">
        <v>63</v>
      </c>
      <c r="D32" s="514"/>
      <c r="E32" s="195"/>
    </row>
    <row r="33" spans="1:6">
      <c r="A33" s="195"/>
      <c r="B33" s="197" t="s">
        <v>92</v>
      </c>
      <c r="C33" s="195"/>
      <c r="D33" s="514">
        <v>80</v>
      </c>
      <c r="E33" s="195" t="s">
        <v>93</v>
      </c>
      <c r="F33" s="124">
        <v>0.25</v>
      </c>
    </row>
    <row r="34" spans="1:6">
      <c r="A34" s="195"/>
      <c r="B34" s="197" t="s">
        <v>94</v>
      </c>
      <c r="C34" s="195"/>
      <c r="D34" s="514">
        <v>42</v>
      </c>
      <c r="E34" s="195" t="s">
        <v>93</v>
      </c>
      <c r="F34" s="124">
        <v>0.2</v>
      </c>
    </row>
    <row r="35" spans="1:6" ht="27.6">
      <c r="A35" s="195"/>
      <c r="B35" s="197" t="s">
        <v>95</v>
      </c>
      <c r="C35" s="195"/>
      <c r="D35" s="514">
        <v>42</v>
      </c>
      <c r="E35" s="195" t="s">
        <v>96</v>
      </c>
      <c r="F35" s="124">
        <v>0.15</v>
      </c>
    </row>
    <row r="36" spans="1:6">
      <c r="A36" s="195"/>
      <c r="B36" s="197" t="s">
        <v>97</v>
      </c>
      <c r="C36" s="195"/>
      <c r="D36" s="514"/>
      <c r="E36" s="195"/>
      <c r="F36" s="124">
        <v>0.15</v>
      </c>
    </row>
    <row r="37" spans="1:6">
      <c r="A37" s="195"/>
      <c r="B37" s="197" t="s">
        <v>98</v>
      </c>
      <c r="C37" s="195"/>
      <c r="D37" s="514"/>
      <c r="E37" s="195"/>
      <c r="F37" s="124">
        <v>0.15</v>
      </c>
    </row>
    <row r="38" spans="1:6">
      <c r="A38" s="195"/>
      <c r="B38" s="202"/>
      <c r="C38" s="195"/>
      <c r="D38" s="514"/>
      <c r="E38" s="195"/>
    </row>
    <row r="39" spans="1:6">
      <c r="A39" s="195"/>
      <c r="B39" s="202"/>
      <c r="C39" s="195"/>
      <c r="D39" s="514"/>
      <c r="E39" s="195"/>
    </row>
    <row r="40" spans="1:6">
      <c r="A40" s="195"/>
      <c r="B40" s="202"/>
      <c r="C40" s="195"/>
      <c r="D40" s="514"/>
      <c r="E40" s="195"/>
    </row>
    <row r="41" spans="1:6">
      <c r="A41" s="195"/>
      <c r="B41" s="202" t="s">
        <v>99</v>
      </c>
      <c r="C41" s="195"/>
      <c r="D41" s="514"/>
      <c r="E41" s="195"/>
    </row>
    <row r="42" spans="1:6">
      <c r="A42" s="195"/>
      <c r="B42" s="197" t="s">
        <v>100</v>
      </c>
      <c r="C42" s="195" t="s">
        <v>63</v>
      </c>
      <c r="D42" s="514"/>
      <c r="E42" s="195"/>
      <c r="F42" s="124"/>
    </row>
    <row r="43" spans="1:6">
      <c r="A43" s="195"/>
      <c r="B43" s="197" t="s">
        <v>101</v>
      </c>
      <c r="C43" s="195" t="s">
        <v>63</v>
      </c>
      <c r="D43" s="514"/>
      <c r="E43" s="195"/>
    </row>
    <row r="44" spans="1:6">
      <c r="A44" s="195"/>
      <c r="B44" s="197" t="s">
        <v>102</v>
      </c>
      <c r="C44" s="195"/>
      <c r="D44" s="514"/>
      <c r="E44" s="195"/>
    </row>
    <row r="45" spans="1:6">
      <c r="A45" s="195"/>
      <c r="B45" s="202" t="s">
        <v>103</v>
      </c>
      <c r="C45" s="195"/>
      <c r="D45" s="514"/>
      <c r="E45" s="195"/>
    </row>
    <row r="46" spans="1:6">
      <c r="A46" s="195"/>
      <c r="B46" s="202" t="s">
        <v>104</v>
      </c>
      <c r="C46" s="195"/>
      <c r="D46" s="514"/>
      <c r="E46" s="195"/>
    </row>
    <row r="47" spans="1:6">
      <c r="A47" s="195"/>
      <c r="B47" s="197" t="s">
        <v>105</v>
      </c>
      <c r="C47" s="195" t="s">
        <v>63</v>
      </c>
      <c r="D47" s="514"/>
      <c r="E47" s="195"/>
    </row>
    <row r="48" spans="1:6">
      <c r="A48" s="195"/>
      <c r="B48" s="197" t="s">
        <v>106</v>
      </c>
      <c r="C48" s="195" t="s">
        <v>63</v>
      </c>
      <c r="D48" s="514"/>
      <c r="E48" s="195"/>
    </row>
    <row r="49" spans="1:5">
      <c r="A49" s="195"/>
      <c r="B49" s="197" t="s">
        <v>107</v>
      </c>
      <c r="C49" s="195" t="s">
        <v>63</v>
      </c>
      <c r="D49" s="514"/>
      <c r="E49" s="195"/>
    </row>
    <row r="50" spans="1:5">
      <c r="A50" s="195"/>
      <c r="B50" s="197" t="s">
        <v>108</v>
      </c>
      <c r="C50" s="195"/>
      <c r="D50" s="514"/>
      <c r="E50" s="195"/>
    </row>
    <row r="51" spans="1:5">
      <c r="A51" s="195"/>
      <c r="B51" s="197" t="s">
        <v>109</v>
      </c>
      <c r="C51" s="195" t="s">
        <v>63</v>
      </c>
      <c r="D51" s="514"/>
      <c r="E51" s="195"/>
    </row>
    <row r="52" spans="1:5">
      <c r="A52" s="195"/>
      <c r="B52" s="197" t="s">
        <v>110</v>
      </c>
      <c r="C52" s="195" t="s">
        <v>63</v>
      </c>
      <c r="D52" s="514"/>
      <c r="E52" s="195"/>
    </row>
    <row r="53" spans="1:5">
      <c r="A53" s="195"/>
      <c r="B53" s="197" t="s">
        <v>111</v>
      </c>
      <c r="C53" s="195" t="s">
        <v>112</v>
      </c>
      <c r="D53" s="514"/>
      <c r="E53" s="195"/>
    </row>
    <row r="54" spans="1:5">
      <c r="A54" s="195"/>
      <c r="B54" s="197" t="s">
        <v>113</v>
      </c>
      <c r="C54" s="195" t="s">
        <v>112</v>
      </c>
      <c r="D54" s="514"/>
      <c r="E54" s="195"/>
    </row>
    <row r="55" spans="1:5">
      <c r="A55" s="195"/>
      <c r="B55" s="197" t="s">
        <v>114</v>
      </c>
      <c r="C55" s="195" t="s">
        <v>115</v>
      </c>
      <c r="D55" s="514"/>
      <c r="E55" s="195"/>
    </row>
    <row r="56" spans="1:5">
      <c r="A56" s="195"/>
      <c r="B56" s="197" t="s">
        <v>116</v>
      </c>
      <c r="C56" s="195" t="s">
        <v>115</v>
      </c>
      <c r="D56" s="514"/>
      <c r="E56" s="195"/>
    </row>
    <row r="57" spans="1:5" ht="27.6">
      <c r="A57" s="195"/>
      <c r="B57" s="511" t="s">
        <v>117</v>
      </c>
      <c r="C57" s="512" t="s">
        <v>118</v>
      </c>
      <c r="D57" s="514"/>
      <c r="E57" s="195"/>
    </row>
    <row r="58" spans="1:5">
      <c r="A58" s="195"/>
      <c r="B58" s="202" t="s">
        <v>119</v>
      </c>
      <c r="C58" s="195"/>
      <c r="D58" s="514"/>
      <c r="E58" s="195"/>
    </row>
    <row r="59" spans="1:5">
      <c r="A59" s="195"/>
      <c r="B59" s="202" t="s">
        <v>120</v>
      </c>
      <c r="C59" s="195"/>
      <c r="D59" s="514"/>
      <c r="E59" s="195"/>
    </row>
    <row r="60" spans="1:5">
      <c r="A60" s="195"/>
      <c r="B60" s="197" t="s">
        <v>121</v>
      </c>
      <c r="C60" s="195" t="s">
        <v>63</v>
      </c>
      <c r="D60" s="514"/>
      <c r="E60" s="195"/>
    </row>
    <row r="61" spans="1:5">
      <c r="A61" s="195"/>
      <c r="B61" s="197" t="s">
        <v>122</v>
      </c>
      <c r="C61" s="195" t="s">
        <v>115</v>
      </c>
      <c r="D61" s="514"/>
      <c r="E61" s="195"/>
    </row>
    <row r="62" spans="1:5">
      <c r="A62" s="195"/>
      <c r="B62" s="197" t="s">
        <v>123</v>
      </c>
      <c r="C62" s="195" t="s">
        <v>115</v>
      </c>
      <c r="D62" s="514"/>
      <c r="E62" s="195"/>
    </row>
    <row r="63" spans="1:5">
      <c r="A63" s="195"/>
      <c r="B63" s="202" t="s">
        <v>124</v>
      </c>
      <c r="C63" s="195"/>
      <c r="D63" s="514"/>
      <c r="E63" s="195"/>
    </row>
    <row r="64" spans="1:5">
      <c r="A64" s="195"/>
      <c r="B64" s="197" t="s">
        <v>125</v>
      </c>
      <c r="C64" s="195" t="s">
        <v>63</v>
      </c>
      <c r="D64" s="514"/>
      <c r="E64" s="195"/>
    </row>
    <row r="65" spans="1:5">
      <c r="A65" s="195"/>
      <c r="B65" s="197" t="s">
        <v>126</v>
      </c>
      <c r="C65" s="195" t="s">
        <v>115</v>
      </c>
      <c r="D65" s="514"/>
      <c r="E65" s="195"/>
    </row>
    <row r="66" spans="1:5">
      <c r="A66" s="195"/>
      <c r="B66" s="197" t="s">
        <v>127</v>
      </c>
      <c r="C66" s="195" t="s">
        <v>115</v>
      </c>
      <c r="D66" s="514"/>
      <c r="E66" s="195"/>
    </row>
    <row r="67" spans="1:5">
      <c r="A67" s="195"/>
      <c r="B67" s="197" t="s">
        <v>128</v>
      </c>
      <c r="C67" s="195" t="s">
        <v>115</v>
      </c>
      <c r="D67" s="514"/>
      <c r="E67" s="195"/>
    </row>
    <row r="68" spans="1:5">
      <c r="A68" s="195"/>
      <c r="B68" s="197" t="s">
        <v>129</v>
      </c>
      <c r="C68" s="195" t="s">
        <v>115</v>
      </c>
      <c r="D68" s="514"/>
      <c r="E68" s="195"/>
    </row>
    <row r="69" spans="1:5">
      <c r="A69" s="195"/>
      <c r="B69" s="197"/>
      <c r="C69" s="195"/>
      <c r="D69" s="514"/>
      <c r="E69" s="195"/>
    </row>
    <row r="70" spans="1:5">
      <c r="A70" s="195"/>
      <c r="B70" s="197" t="s">
        <v>130</v>
      </c>
      <c r="C70" s="195"/>
      <c r="D70" s="514"/>
      <c r="E70" s="195"/>
    </row>
    <row r="71" spans="1:5" ht="27.6">
      <c r="A71" s="195">
        <v>1</v>
      </c>
      <c r="B71" s="197" t="s">
        <v>131</v>
      </c>
      <c r="C71" s="195"/>
      <c r="D71" s="514"/>
      <c r="E71" s="195"/>
    </row>
    <row r="72" spans="1:5">
      <c r="A72" s="195"/>
      <c r="B72" s="202" t="s">
        <v>48</v>
      </c>
      <c r="C72" s="195"/>
      <c r="D72" s="514"/>
      <c r="E72" s="195"/>
    </row>
    <row r="73" spans="1:5">
      <c r="A73" s="195">
        <v>2</v>
      </c>
      <c r="B73" s="197" t="s">
        <v>132</v>
      </c>
      <c r="C73" s="195"/>
      <c r="D73" s="514"/>
      <c r="E73" s="195"/>
    </row>
    <row r="74" spans="1:5">
      <c r="A74" s="195"/>
      <c r="B74" s="202" t="s">
        <v>133</v>
      </c>
      <c r="C74" s="195"/>
      <c r="D74" s="514"/>
      <c r="E74" s="195"/>
    </row>
    <row r="75" spans="1:5" ht="27.6">
      <c r="A75" s="195">
        <v>3</v>
      </c>
      <c r="B75" s="197" t="s">
        <v>134</v>
      </c>
      <c r="C75" s="195"/>
      <c r="D75" s="272" t="s">
        <v>135</v>
      </c>
      <c r="E75" s="195" t="s">
        <v>136</v>
      </c>
    </row>
    <row r="76" spans="1:5" ht="41.45">
      <c r="A76" s="195">
        <v>4</v>
      </c>
      <c r="B76" s="197" t="s">
        <v>137</v>
      </c>
      <c r="C76" s="195"/>
      <c r="D76" s="514" t="s">
        <v>138</v>
      </c>
      <c r="E76" s="195" t="s">
        <v>136</v>
      </c>
    </row>
    <row r="77" spans="1:5" ht="27.6">
      <c r="A77" s="195">
        <v>5</v>
      </c>
      <c r="B77" s="513" t="s">
        <v>139</v>
      </c>
      <c r="C77" s="195"/>
      <c r="D77" s="514"/>
      <c r="E77" s="195"/>
    </row>
    <row r="78" spans="1:5">
      <c r="A78" s="195">
        <v>6</v>
      </c>
      <c r="B78" s="197" t="s">
        <v>140</v>
      </c>
      <c r="C78" s="195"/>
      <c r="D78" s="514"/>
      <c r="E78" s="195"/>
    </row>
    <row r="79" spans="1:5">
      <c r="A79" s="195">
        <v>8</v>
      </c>
      <c r="B79" s="197" t="s">
        <v>91</v>
      </c>
      <c r="C79" s="195"/>
      <c r="D79" s="514"/>
      <c r="E79" s="195"/>
    </row>
    <row r="80" spans="1:5">
      <c r="A80" s="195">
        <v>9</v>
      </c>
      <c r="B80" s="197" t="s">
        <v>141</v>
      </c>
      <c r="C80" s="195">
        <v>1</v>
      </c>
      <c r="D80" s="514" t="s">
        <v>142</v>
      </c>
      <c r="E80" s="195"/>
    </row>
    <row r="81" spans="1:5">
      <c r="A81" s="195">
        <v>10</v>
      </c>
      <c r="B81" s="197" t="s">
        <v>143</v>
      </c>
      <c r="C81" s="195">
        <v>2</v>
      </c>
      <c r="D81" s="514" t="s">
        <v>142</v>
      </c>
      <c r="E81" s="195"/>
    </row>
    <row r="82" spans="1:5">
      <c r="A82" s="195">
        <v>11</v>
      </c>
      <c r="B82" s="197" t="s">
        <v>144</v>
      </c>
      <c r="C82" s="195">
        <v>3</v>
      </c>
      <c r="D82" s="514" t="s">
        <v>142</v>
      </c>
      <c r="E82" s="195"/>
    </row>
  </sheetData>
  <mergeCells count="5">
    <mergeCell ref="D2:E2"/>
    <mergeCell ref="B2:B3"/>
    <mergeCell ref="A2:A3"/>
    <mergeCell ref="C2:C3"/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8838F-DC72-462C-82B4-9F2690CBA8E5}">
  <dimension ref="A1:C28"/>
  <sheetViews>
    <sheetView topLeftCell="A3" zoomScale="130" zoomScaleNormal="130" workbookViewId="0">
      <selection activeCell="C2" sqref="C2"/>
    </sheetView>
  </sheetViews>
  <sheetFormatPr defaultColWidth="11.375" defaultRowHeight="13.15"/>
  <cols>
    <col min="1" max="1" width="22.75" style="516" bestFit="1" customWidth="1"/>
    <col min="2" max="2" width="6" style="516" bestFit="1" customWidth="1"/>
    <col min="3" max="3" width="50.25" style="516" bestFit="1" customWidth="1"/>
    <col min="4" max="16384" width="11.375" style="516"/>
  </cols>
  <sheetData>
    <row r="1" spans="1:3" ht="26.45">
      <c r="A1" s="515" t="s">
        <v>1</v>
      </c>
      <c r="B1" s="515" t="s">
        <v>145</v>
      </c>
      <c r="C1" s="515" t="s">
        <v>146</v>
      </c>
    </row>
    <row r="2" spans="1:3">
      <c r="A2" s="517" t="s">
        <v>89</v>
      </c>
      <c r="B2" s="518"/>
      <c r="C2" s="519"/>
    </row>
    <row r="3" spans="1:3">
      <c r="A3" s="517" t="s">
        <v>147</v>
      </c>
      <c r="B3" s="518"/>
      <c r="C3" s="519"/>
    </row>
    <row r="4" spans="1:3">
      <c r="A4" s="519" t="s">
        <v>148</v>
      </c>
      <c r="B4" s="520">
        <v>0.1</v>
      </c>
      <c r="C4" s="519"/>
    </row>
    <row r="5" spans="1:3">
      <c r="A5" s="519" t="s">
        <v>148</v>
      </c>
      <c r="B5" s="520">
        <v>0.15</v>
      </c>
      <c r="C5" s="519"/>
    </row>
    <row r="6" spans="1:3">
      <c r="A6" s="519" t="s">
        <v>149</v>
      </c>
      <c r="B6" s="520">
        <v>0.06</v>
      </c>
      <c r="C6" s="519"/>
    </row>
    <row r="7" spans="1:3">
      <c r="A7" s="519" t="s">
        <v>149</v>
      </c>
      <c r="B7" s="520">
        <v>0.08</v>
      </c>
      <c r="C7" s="519"/>
    </row>
    <row r="8" spans="1:3">
      <c r="A8" s="517" t="s">
        <v>99</v>
      </c>
      <c r="B8" s="518"/>
      <c r="C8" s="519"/>
    </row>
    <row r="9" spans="1:3">
      <c r="A9" s="519" t="s">
        <v>100</v>
      </c>
      <c r="B9" s="518"/>
      <c r="C9" s="519" t="s">
        <v>150</v>
      </c>
    </row>
    <row r="10" spans="1:3">
      <c r="A10" s="519" t="s">
        <v>101</v>
      </c>
      <c r="B10" s="518"/>
      <c r="C10" s="519" t="s">
        <v>151</v>
      </c>
    </row>
    <row r="11" spans="1:3">
      <c r="A11" s="519" t="s">
        <v>102</v>
      </c>
      <c r="B11" s="518"/>
      <c r="C11" s="519" t="s">
        <v>152</v>
      </c>
    </row>
    <row r="12" spans="1:3" ht="26.45">
      <c r="A12" s="517" t="s">
        <v>103</v>
      </c>
      <c r="B12" s="518"/>
      <c r="C12" s="519"/>
    </row>
    <row r="13" spans="1:3">
      <c r="A13" s="517" t="s">
        <v>104</v>
      </c>
      <c r="B13" s="518"/>
      <c r="C13" s="519"/>
    </row>
    <row r="14" spans="1:3" ht="26.45">
      <c r="A14" s="519" t="s">
        <v>105</v>
      </c>
      <c r="B14" s="518"/>
      <c r="C14" s="519" t="s">
        <v>153</v>
      </c>
    </row>
    <row r="15" spans="1:3" ht="26.45">
      <c r="A15" s="519" t="s">
        <v>106</v>
      </c>
      <c r="B15" s="518"/>
      <c r="C15" s="519" t="s">
        <v>154</v>
      </c>
    </row>
    <row r="16" spans="1:3">
      <c r="A16" s="519" t="s">
        <v>107</v>
      </c>
      <c r="B16" s="518"/>
      <c r="C16" s="519" t="s">
        <v>155</v>
      </c>
    </row>
    <row r="17" spans="1:3">
      <c r="A17" s="519" t="s">
        <v>156</v>
      </c>
      <c r="B17" s="518"/>
      <c r="C17" s="519"/>
    </row>
    <row r="18" spans="1:3" ht="26.45">
      <c r="A18" s="519" t="s">
        <v>110</v>
      </c>
      <c r="B18" s="518"/>
      <c r="C18" s="519"/>
    </row>
    <row r="19" spans="1:3">
      <c r="A19" s="519" t="s">
        <v>111</v>
      </c>
      <c r="B19" s="518"/>
      <c r="C19" s="519"/>
    </row>
    <row r="20" spans="1:3">
      <c r="A20" s="519" t="s">
        <v>113</v>
      </c>
      <c r="B20" s="518"/>
      <c r="C20" s="519"/>
    </row>
    <row r="21" spans="1:3">
      <c r="A21" s="519" t="s">
        <v>114</v>
      </c>
      <c r="B21" s="518"/>
      <c r="C21" s="519"/>
    </row>
    <row r="22" spans="1:3">
      <c r="A22" s="519" t="s">
        <v>116</v>
      </c>
      <c r="B22" s="518"/>
      <c r="C22" s="519"/>
    </row>
    <row r="23" spans="1:3">
      <c r="A23" s="519" t="s">
        <v>117</v>
      </c>
      <c r="B23" s="518"/>
      <c r="C23" s="519"/>
    </row>
    <row r="24" spans="1:3">
      <c r="A24" s="519"/>
      <c r="B24" s="518"/>
      <c r="C24" s="519"/>
    </row>
    <row r="25" spans="1:3">
      <c r="A25" s="517" t="s">
        <v>119</v>
      </c>
      <c r="B25" s="518"/>
      <c r="C25" s="519"/>
    </row>
    <row r="26" spans="1:3" ht="26.45">
      <c r="A26" s="519" t="s">
        <v>121</v>
      </c>
      <c r="B26" s="518"/>
      <c r="C26" s="519" t="s">
        <v>153</v>
      </c>
    </row>
    <row r="27" spans="1:3" ht="26.45">
      <c r="A27" s="519" t="s">
        <v>122</v>
      </c>
      <c r="B27" s="518"/>
      <c r="C27" s="519" t="s">
        <v>154</v>
      </c>
    </row>
    <row r="28" spans="1:3">
      <c r="A28" s="519" t="s">
        <v>123</v>
      </c>
      <c r="B28" s="518"/>
      <c r="C28" s="519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5916-D95C-433F-A522-85EA8092FA08}">
  <sheetPr>
    <tabColor rgb="FFFF0000"/>
  </sheetPr>
  <dimension ref="A1:Q40"/>
  <sheetViews>
    <sheetView topLeftCell="C25" zoomScale="130" zoomScaleNormal="130" workbookViewId="0">
      <selection activeCell="L1" sqref="L1:O1"/>
    </sheetView>
  </sheetViews>
  <sheetFormatPr defaultColWidth="11.375" defaultRowHeight="13.9"/>
  <cols>
    <col min="1" max="1" width="11.375" style="7"/>
    <col min="2" max="2" width="59.375" style="42" bestFit="1" customWidth="1"/>
    <col min="3" max="3" width="11.375" style="7"/>
    <col min="4" max="4" width="11.375" style="42"/>
    <col min="5" max="6" width="11.375" style="7"/>
    <col min="7" max="7" width="16.375" style="42" bestFit="1" customWidth="1"/>
    <col min="8" max="8" width="11.375" style="7"/>
    <col min="9" max="9" width="20.625" style="42" bestFit="1" customWidth="1"/>
    <col min="10" max="10" width="11.375" style="7"/>
    <col min="11" max="11" width="4.625" style="42" customWidth="1"/>
    <col min="12" max="12" width="6.25" style="7" bestFit="1" customWidth="1"/>
    <col min="13" max="13" width="7.125" style="7" bestFit="1" customWidth="1"/>
    <col min="14" max="14" width="5.75" style="7" customWidth="1"/>
    <col min="15" max="15" width="8.75" style="42" customWidth="1"/>
    <col min="16" max="16" width="5.125" style="42" customWidth="1"/>
    <col min="17" max="17" width="17.25" style="521" bestFit="1" customWidth="1"/>
    <col min="18" max="16384" width="11.375" style="42"/>
  </cols>
  <sheetData>
    <row r="1" spans="1:17">
      <c r="A1" s="1505" t="s">
        <v>0</v>
      </c>
      <c r="B1" s="1505" t="s">
        <v>54</v>
      </c>
      <c r="C1" s="1505" t="s">
        <v>13</v>
      </c>
      <c r="D1" s="1505"/>
      <c r="E1" s="1505" t="s">
        <v>157</v>
      </c>
      <c r="F1" s="1505"/>
      <c r="G1" s="1505" t="s">
        <v>158</v>
      </c>
      <c r="H1" s="1505"/>
      <c r="I1" s="1505" t="s">
        <v>159</v>
      </c>
      <c r="J1" s="1505"/>
      <c r="L1" s="1505" t="s">
        <v>160</v>
      </c>
      <c r="M1" s="1505"/>
      <c r="N1" s="1505"/>
      <c r="O1" s="1505"/>
      <c r="P1" s="3"/>
      <c r="Q1" s="1506" t="s">
        <v>161</v>
      </c>
    </row>
    <row r="2" spans="1:17" s="7" customFormat="1">
      <c r="A2" s="1505"/>
      <c r="B2" s="1505"/>
      <c r="C2" s="522" t="s">
        <v>55</v>
      </c>
      <c r="D2" s="522" t="s">
        <v>56</v>
      </c>
      <c r="E2" s="522" t="s">
        <v>55</v>
      </c>
      <c r="F2" s="522" t="s">
        <v>56</v>
      </c>
      <c r="G2" s="522" t="s">
        <v>55</v>
      </c>
      <c r="H2" s="522" t="s">
        <v>56</v>
      </c>
      <c r="I2" s="522" t="s">
        <v>55</v>
      </c>
      <c r="J2" s="522" t="s">
        <v>56</v>
      </c>
      <c r="L2" s="522" t="s">
        <v>162</v>
      </c>
      <c r="M2" s="522" t="s">
        <v>56</v>
      </c>
      <c r="N2" s="528"/>
      <c r="O2" s="528"/>
      <c r="Q2" s="1506"/>
    </row>
    <row r="3" spans="1:17">
      <c r="A3" s="372">
        <v>1</v>
      </c>
      <c r="B3" s="375" t="s">
        <v>163</v>
      </c>
      <c r="C3" s="372"/>
      <c r="D3" s="375"/>
      <c r="E3" s="372">
        <v>100</v>
      </c>
      <c r="F3" s="372"/>
      <c r="G3" s="375"/>
      <c r="H3" s="372"/>
      <c r="I3" s="375"/>
      <c r="J3" s="372"/>
      <c r="L3" s="529">
        <v>70</v>
      </c>
      <c r="M3" s="529" t="s">
        <v>164</v>
      </c>
      <c r="N3" s="529"/>
      <c r="O3" s="530"/>
      <c r="Q3" s="532">
        <v>6500000</v>
      </c>
    </row>
    <row r="4" spans="1:17">
      <c r="A4" s="372">
        <v>2</v>
      </c>
      <c r="B4" s="375" t="s">
        <v>165</v>
      </c>
      <c r="C4" s="372"/>
      <c r="D4" s="375"/>
      <c r="E4" s="372">
        <v>100</v>
      </c>
      <c r="F4" s="372"/>
      <c r="G4" s="375"/>
      <c r="H4" s="372"/>
      <c r="I4" s="375"/>
      <c r="J4" s="372"/>
      <c r="L4" s="529">
        <v>70</v>
      </c>
      <c r="M4" s="529" t="s">
        <v>164</v>
      </c>
      <c r="N4" s="529"/>
      <c r="O4" s="530"/>
      <c r="Q4" s="532">
        <v>7500000</v>
      </c>
    </row>
    <row r="5" spans="1:17">
      <c r="A5" s="372">
        <v>3</v>
      </c>
      <c r="B5" s="375" t="s">
        <v>166</v>
      </c>
      <c r="C5" s="372"/>
      <c r="D5" s="375"/>
      <c r="E5" s="372">
        <v>100</v>
      </c>
      <c r="F5" s="372"/>
      <c r="G5" s="375"/>
      <c r="H5" s="372"/>
      <c r="I5" s="375"/>
      <c r="J5" s="372"/>
      <c r="L5" s="529"/>
      <c r="M5" s="529"/>
      <c r="N5" s="529"/>
      <c r="O5" s="530"/>
      <c r="Q5" s="532">
        <v>3000000</v>
      </c>
    </row>
    <row r="6" spans="1:17">
      <c r="A6" s="372">
        <v>4</v>
      </c>
      <c r="B6" s="375" t="s">
        <v>167</v>
      </c>
      <c r="C6" s="372"/>
      <c r="D6" s="375"/>
      <c r="E6" s="372">
        <v>100</v>
      </c>
      <c r="F6" s="372"/>
      <c r="G6" s="375"/>
      <c r="H6" s="372"/>
      <c r="I6" s="375"/>
      <c r="J6" s="372"/>
      <c r="L6" s="529">
        <v>150</v>
      </c>
      <c r="M6" s="529" t="s">
        <v>164</v>
      </c>
      <c r="N6" s="529"/>
      <c r="O6" s="530"/>
      <c r="Q6" s="532">
        <v>12000000</v>
      </c>
    </row>
    <row r="7" spans="1:17">
      <c r="A7" s="372">
        <v>5</v>
      </c>
      <c r="B7" s="375" t="s">
        <v>168</v>
      </c>
      <c r="C7" s="372"/>
      <c r="D7" s="375"/>
      <c r="E7" s="372">
        <v>100</v>
      </c>
      <c r="F7" s="372"/>
      <c r="G7" s="375"/>
      <c r="H7" s="372"/>
      <c r="I7" s="375"/>
      <c r="J7" s="372"/>
      <c r="L7" s="529">
        <v>50</v>
      </c>
      <c r="M7" s="529" t="s">
        <v>164</v>
      </c>
      <c r="N7" s="531" t="s">
        <v>169</v>
      </c>
      <c r="O7" s="530"/>
      <c r="Q7" s="532">
        <v>9000000</v>
      </c>
    </row>
    <row r="8" spans="1:17">
      <c r="A8" s="372">
        <v>6</v>
      </c>
      <c r="B8" s="375" t="s">
        <v>170</v>
      </c>
      <c r="C8" s="372"/>
      <c r="D8" s="375"/>
      <c r="E8" s="372"/>
      <c r="F8" s="372"/>
      <c r="G8" s="375"/>
      <c r="H8" s="372"/>
      <c r="I8" s="375"/>
      <c r="J8" s="372"/>
      <c r="L8" s="529">
        <f>E13</f>
        <v>48</v>
      </c>
      <c r="M8" s="529" t="s">
        <v>164</v>
      </c>
      <c r="N8" s="529">
        <f>E14</f>
        <v>42</v>
      </c>
      <c r="O8" s="529" t="s">
        <v>164</v>
      </c>
      <c r="P8" s="7"/>
      <c r="Q8" s="532"/>
    </row>
    <row r="9" spans="1:17">
      <c r="A9" s="372">
        <v>7</v>
      </c>
      <c r="B9" s="375" t="s">
        <v>171</v>
      </c>
      <c r="C9" s="372"/>
      <c r="D9" s="375"/>
      <c r="E9" s="372"/>
      <c r="F9" s="372"/>
      <c r="G9" s="375"/>
      <c r="H9" s="372"/>
      <c r="I9" s="375"/>
      <c r="J9" s="372"/>
      <c r="L9" s="529">
        <v>42</v>
      </c>
      <c r="M9" s="529" t="s">
        <v>164</v>
      </c>
      <c r="N9" s="529"/>
      <c r="O9" s="529"/>
      <c r="P9" s="7"/>
      <c r="Q9" s="532"/>
    </row>
    <row r="10" spans="1:17">
      <c r="A10" s="372">
        <v>8</v>
      </c>
      <c r="B10" s="375" t="s">
        <v>172</v>
      </c>
      <c r="C10" s="372"/>
      <c r="D10" s="375"/>
      <c r="E10" s="372">
        <v>80</v>
      </c>
      <c r="F10" s="372"/>
      <c r="G10" s="375"/>
      <c r="H10" s="372"/>
      <c r="I10" s="375"/>
      <c r="J10" s="372"/>
      <c r="L10" s="529">
        <v>90</v>
      </c>
      <c r="M10" s="529" t="s">
        <v>164</v>
      </c>
      <c r="N10" s="529"/>
      <c r="O10" s="530"/>
      <c r="Q10" s="532"/>
    </row>
    <row r="11" spans="1:17">
      <c r="A11" s="372"/>
      <c r="B11" s="375"/>
      <c r="C11" s="372"/>
      <c r="D11" s="375"/>
      <c r="E11" s="372"/>
      <c r="F11" s="372"/>
      <c r="G11" s="375"/>
      <c r="H11" s="372"/>
      <c r="I11" s="375"/>
      <c r="J11" s="372"/>
      <c r="Q11" s="532"/>
    </row>
    <row r="12" spans="1:17">
      <c r="A12" s="372"/>
      <c r="B12" s="376" t="s">
        <v>173</v>
      </c>
      <c r="C12" s="372"/>
      <c r="D12" s="375"/>
      <c r="E12" s="372"/>
      <c r="F12" s="372"/>
      <c r="G12" s="375"/>
      <c r="H12" s="372"/>
      <c r="I12" s="375"/>
      <c r="J12" s="372"/>
      <c r="Q12" s="532">
        <v>7500000</v>
      </c>
    </row>
    <row r="13" spans="1:17">
      <c r="A13" s="372">
        <v>9</v>
      </c>
      <c r="B13" s="375" t="s">
        <v>174</v>
      </c>
      <c r="C13" s="372">
        <v>175</v>
      </c>
      <c r="D13" s="375" t="s">
        <v>175</v>
      </c>
      <c r="E13" s="372">
        <v>48</v>
      </c>
      <c r="F13" s="372" t="s">
        <v>164</v>
      </c>
      <c r="G13" s="523">
        <f>I13/E13</f>
        <v>6383507.8125</v>
      </c>
      <c r="H13" s="372" t="s">
        <v>39</v>
      </c>
      <c r="I13" s="523">
        <f>C13*I15</f>
        <v>306408375</v>
      </c>
      <c r="J13" s="372" t="s">
        <v>176</v>
      </c>
      <c r="Q13" s="532">
        <f>I13/E13</f>
        <v>6383507.8125</v>
      </c>
    </row>
    <row r="14" spans="1:17">
      <c r="A14" s="372">
        <v>10</v>
      </c>
      <c r="B14" s="375" t="s">
        <v>177</v>
      </c>
      <c r="C14" s="372">
        <v>90</v>
      </c>
      <c r="D14" s="375" t="s">
        <v>175</v>
      </c>
      <c r="E14" s="372">
        <v>42</v>
      </c>
      <c r="F14" s="372" t="s">
        <v>164</v>
      </c>
      <c r="G14" s="523">
        <f>I14/E14</f>
        <v>3751939.2857142859</v>
      </c>
      <c r="H14" s="372" t="s">
        <v>39</v>
      </c>
      <c r="I14" s="523">
        <f>C14*I15</f>
        <v>157581450</v>
      </c>
      <c r="J14" s="372" t="s">
        <v>176</v>
      </c>
      <c r="Q14" s="532">
        <f>I14/E14</f>
        <v>3751939.2857142859</v>
      </c>
    </row>
    <row r="15" spans="1:17">
      <c r="A15" s="372">
        <v>11</v>
      </c>
      <c r="B15" s="375" t="s">
        <v>175</v>
      </c>
      <c r="C15" s="372"/>
      <c r="D15" s="375"/>
      <c r="E15" s="372"/>
      <c r="F15" s="372"/>
      <c r="G15" s="375"/>
      <c r="H15" s="372"/>
      <c r="I15" s="523">
        <f>1750905</f>
        <v>1750905</v>
      </c>
      <c r="J15" s="372" t="s">
        <v>176</v>
      </c>
    </row>
    <row r="16" spans="1:17">
      <c r="A16" s="372"/>
      <c r="B16" s="375"/>
      <c r="C16" s="372"/>
      <c r="D16" s="375"/>
      <c r="E16" s="372"/>
      <c r="F16" s="372"/>
      <c r="G16" s="375"/>
      <c r="H16" s="372"/>
      <c r="I16" s="375"/>
      <c r="J16" s="372"/>
    </row>
    <row r="17" spans="1:10">
      <c r="A17" s="372"/>
      <c r="B17" s="375"/>
      <c r="C17" s="372"/>
      <c r="D17" s="375"/>
      <c r="E17" s="372"/>
      <c r="F17" s="372"/>
      <c r="G17" s="375"/>
      <c r="H17" s="372"/>
      <c r="I17" s="375"/>
      <c r="J17" s="372"/>
    </row>
    <row r="18" spans="1:10">
      <c r="A18" s="372"/>
      <c r="B18" s="376" t="s">
        <v>178</v>
      </c>
      <c r="C18" s="372"/>
      <c r="D18" s="375"/>
      <c r="E18" s="524">
        <f>SUM(E19:E22)</f>
        <v>905.63</v>
      </c>
      <c r="F18" s="372" t="s">
        <v>164</v>
      </c>
      <c r="G18" s="525">
        <f t="shared" ref="G18:G23" si="0">I18/E18</f>
        <v>5284777.6409792081</v>
      </c>
      <c r="H18" s="372" t="s">
        <v>39</v>
      </c>
      <c r="I18" s="525">
        <f>SUM(I19:I22)</f>
        <v>4786053175</v>
      </c>
      <c r="J18" s="372"/>
    </row>
    <row r="19" spans="1:10">
      <c r="A19" s="372">
        <v>12</v>
      </c>
      <c r="B19" s="375" t="s">
        <v>179</v>
      </c>
      <c r="C19" s="372"/>
      <c r="D19" s="375"/>
      <c r="E19" s="526">
        <v>20.63</v>
      </c>
      <c r="F19" s="372" t="s">
        <v>164</v>
      </c>
      <c r="G19" s="523">
        <f t="shared" si="0"/>
        <v>7365971.8856034903</v>
      </c>
      <c r="H19" s="372" t="s">
        <v>39</v>
      </c>
      <c r="I19" s="523">
        <v>151960000</v>
      </c>
      <c r="J19" s="372" t="s">
        <v>176</v>
      </c>
    </row>
    <row r="20" spans="1:10">
      <c r="A20" s="372">
        <v>13</v>
      </c>
      <c r="B20" s="375" t="s">
        <v>180</v>
      </c>
      <c r="C20" s="372"/>
      <c r="D20" s="375"/>
      <c r="E20" s="526">
        <v>450</v>
      </c>
      <c r="F20" s="372" t="s">
        <v>164</v>
      </c>
      <c r="G20" s="523">
        <f t="shared" si="0"/>
        <v>5111111.111111111</v>
      </c>
      <c r="H20" s="372" t="s">
        <v>39</v>
      </c>
      <c r="I20" s="523">
        <v>2300000000</v>
      </c>
      <c r="J20" s="372" t="s">
        <v>176</v>
      </c>
    </row>
    <row r="21" spans="1:10">
      <c r="A21" s="372">
        <v>14</v>
      </c>
      <c r="B21" s="375" t="s">
        <v>181</v>
      </c>
      <c r="C21" s="372"/>
      <c r="D21" s="375"/>
      <c r="E21" s="526">
        <v>135</v>
      </c>
      <c r="F21" s="372" t="s">
        <v>164</v>
      </c>
      <c r="G21" s="523">
        <f t="shared" si="0"/>
        <v>6548838.333333333</v>
      </c>
      <c r="H21" s="372" t="s">
        <v>39</v>
      </c>
      <c r="I21" s="523">
        <v>884093175</v>
      </c>
      <c r="J21" s="372" t="s">
        <v>176</v>
      </c>
    </row>
    <row r="22" spans="1:10">
      <c r="A22" s="372">
        <v>15</v>
      </c>
      <c r="B22" s="375" t="s">
        <v>182</v>
      </c>
      <c r="C22" s="372"/>
      <c r="D22" s="375"/>
      <c r="E22" s="526">
        <v>300</v>
      </c>
      <c r="F22" s="372" t="s">
        <v>164</v>
      </c>
      <c r="G22" s="523">
        <f t="shared" si="0"/>
        <v>4833333.333333333</v>
      </c>
      <c r="H22" s="372" t="s">
        <v>39</v>
      </c>
      <c r="I22" s="523">
        <v>1450000000</v>
      </c>
      <c r="J22" s="372" t="s">
        <v>176</v>
      </c>
    </row>
    <row r="23" spans="1:10">
      <c r="A23" s="372">
        <v>16</v>
      </c>
      <c r="B23" s="375" t="s">
        <v>183</v>
      </c>
      <c r="C23" s="372"/>
      <c r="D23" s="375"/>
      <c r="E23" s="527">
        <v>89</v>
      </c>
      <c r="F23" s="372" t="s">
        <v>164</v>
      </c>
      <c r="G23" s="523">
        <f t="shared" si="0"/>
        <v>4885617.9775280897</v>
      </c>
      <c r="H23" s="372" t="s">
        <v>39</v>
      </c>
      <c r="I23" s="523">
        <v>434820000</v>
      </c>
      <c r="J23" s="372" t="s">
        <v>176</v>
      </c>
    </row>
    <row r="24" spans="1:10">
      <c r="A24" s="372"/>
      <c r="B24" s="376" t="s">
        <v>184</v>
      </c>
      <c r="C24" s="372"/>
      <c r="D24" s="375"/>
      <c r="E24" s="527"/>
      <c r="F24" s="372"/>
      <c r="G24" s="375"/>
      <c r="H24" s="372"/>
      <c r="I24" s="375"/>
      <c r="J24" s="372"/>
    </row>
    <row r="25" spans="1:10">
      <c r="A25" s="372">
        <v>17</v>
      </c>
      <c r="B25" s="375" t="s">
        <v>185</v>
      </c>
      <c r="C25" s="372"/>
      <c r="D25" s="375"/>
      <c r="E25" s="527">
        <v>70.02</v>
      </c>
      <c r="F25" s="372" t="s">
        <v>164</v>
      </c>
      <c r="G25" s="523">
        <f t="shared" ref="G25:G33" si="1">I25/E25</f>
        <v>11983390.45986861</v>
      </c>
      <c r="H25" s="372" t="s">
        <v>39</v>
      </c>
      <c r="I25" s="523">
        <v>839077000</v>
      </c>
      <c r="J25" s="372" t="s">
        <v>176</v>
      </c>
    </row>
    <row r="26" spans="1:10">
      <c r="A26" s="372">
        <v>18</v>
      </c>
      <c r="B26" s="375" t="s">
        <v>186</v>
      </c>
      <c r="C26" s="372"/>
      <c r="D26" s="375"/>
      <c r="E26" s="527">
        <v>37.369999999999997</v>
      </c>
      <c r="F26" s="372" t="s">
        <v>164</v>
      </c>
      <c r="G26" s="523">
        <f t="shared" si="1"/>
        <v>8000000.0000000009</v>
      </c>
      <c r="H26" s="372" t="s">
        <v>39</v>
      </c>
      <c r="I26" s="523">
        <v>298960000</v>
      </c>
      <c r="J26" s="372" t="s">
        <v>176</v>
      </c>
    </row>
    <row r="27" spans="1:10">
      <c r="A27" s="372">
        <v>19</v>
      </c>
      <c r="B27" s="375" t="s">
        <v>187</v>
      </c>
      <c r="C27" s="372"/>
      <c r="D27" s="375"/>
      <c r="E27" s="527">
        <v>48</v>
      </c>
      <c r="F27" s="372" t="s">
        <v>164</v>
      </c>
      <c r="G27" s="523">
        <f t="shared" si="1"/>
        <v>9333333.333333334</v>
      </c>
      <c r="H27" s="372" t="s">
        <v>39</v>
      </c>
      <c r="I27" s="523">
        <v>448000000</v>
      </c>
      <c r="J27" s="372" t="s">
        <v>176</v>
      </c>
    </row>
    <row r="28" spans="1:10">
      <c r="A28" s="372"/>
      <c r="B28" s="376" t="s">
        <v>188</v>
      </c>
      <c r="C28" s="372"/>
      <c r="D28" s="375"/>
      <c r="E28" s="524">
        <f>SUM(E29:E33)</f>
        <v>273.45999999999998</v>
      </c>
      <c r="F28" s="372"/>
      <c r="G28" s="380">
        <f>I28/E28</f>
        <v>8168652.336722007</v>
      </c>
      <c r="H28" s="372" t="s">
        <v>39</v>
      </c>
      <c r="I28" s="525">
        <f>SUM(I29:I33)</f>
        <v>2233799668</v>
      </c>
      <c r="J28" s="372" t="s">
        <v>176</v>
      </c>
    </row>
    <row r="29" spans="1:10">
      <c r="A29" s="372">
        <v>20</v>
      </c>
      <c r="B29" s="375" t="s">
        <v>189</v>
      </c>
      <c r="C29" s="372"/>
      <c r="D29" s="375"/>
      <c r="E29" s="527">
        <v>69.75</v>
      </c>
      <c r="F29" s="372" t="s">
        <v>164</v>
      </c>
      <c r="G29" s="523">
        <f t="shared" si="1"/>
        <v>4074618.8960573478</v>
      </c>
      <c r="H29" s="372" t="s">
        <v>39</v>
      </c>
      <c r="I29" s="523">
        <v>284204668</v>
      </c>
      <c r="J29" s="372" t="s">
        <v>176</v>
      </c>
    </row>
    <row r="30" spans="1:10">
      <c r="A30" s="372">
        <v>21</v>
      </c>
      <c r="B30" s="375" t="s">
        <v>190</v>
      </c>
      <c r="C30" s="372"/>
      <c r="D30" s="375"/>
      <c r="E30" s="527">
        <v>44</v>
      </c>
      <c r="F30" s="372" t="s">
        <v>164</v>
      </c>
      <c r="G30" s="523">
        <f t="shared" si="1"/>
        <v>7413636.3636363633</v>
      </c>
      <c r="H30" s="372" t="s">
        <v>39</v>
      </c>
      <c r="I30" s="523">
        <v>326200000</v>
      </c>
      <c r="J30" s="372" t="s">
        <v>176</v>
      </c>
    </row>
    <row r="31" spans="1:10">
      <c r="A31" s="372">
        <v>22</v>
      </c>
      <c r="B31" s="375" t="s">
        <v>191</v>
      </c>
      <c r="C31" s="372"/>
      <c r="D31" s="375"/>
      <c r="E31" s="527">
        <v>60.35</v>
      </c>
      <c r="F31" s="372" t="s">
        <v>164</v>
      </c>
      <c r="G31" s="523">
        <f t="shared" si="1"/>
        <v>8483761.3918806966</v>
      </c>
      <c r="H31" s="372" t="s">
        <v>39</v>
      </c>
      <c r="I31" s="523">
        <v>511995000</v>
      </c>
      <c r="J31" s="372" t="s">
        <v>176</v>
      </c>
    </row>
    <row r="32" spans="1:10">
      <c r="A32" s="372">
        <v>23</v>
      </c>
      <c r="B32" s="375" t="s">
        <v>192</v>
      </c>
      <c r="C32" s="372"/>
      <c r="D32" s="375"/>
      <c r="E32" s="527">
        <v>36</v>
      </c>
      <c r="F32" s="372" t="s">
        <v>164</v>
      </c>
      <c r="G32" s="523">
        <f t="shared" si="1"/>
        <v>10277777.777777778</v>
      </c>
      <c r="H32" s="372" t="s">
        <v>39</v>
      </c>
      <c r="I32" s="523">
        <v>370000000</v>
      </c>
      <c r="J32" s="372" t="s">
        <v>176</v>
      </c>
    </row>
    <row r="33" spans="1:10">
      <c r="A33" s="372">
        <v>24</v>
      </c>
      <c r="B33" s="375" t="s">
        <v>193</v>
      </c>
      <c r="C33" s="372"/>
      <c r="D33" s="375"/>
      <c r="E33" s="527">
        <v>63.36</v>
      </c>
      <c r="F33" s="372" t="s">
        <v>164</v>
      </c>
      <c r="G33" s="523">
        <f t="shared" si="1"/>
        <v>11701388.88888889</v>
      </c>
      <c r="H33" s="372" t="s">
        <v>39</v>
      </c>
      <c r="I33" s="523">
        <v>741400000</v>
      </c>
      <c r="J33" s="372" t="s">
        <v>176</v>
      </c>
    </row>
    <row r="34" spans="1:10">
      <c r="A34" s="372"/>
      <c r="B34" s="397" t="s">
        <v>194</v>
      </c>
      <c r="C34" s="372"/>
      <c r="D34" s="375"/>
      <c r="E34" s="527"/>
      <c r="F34" s="372"/>
      <c r="G34" s="375"/>
      <c r="H34" s="372"/>
      <c r="I34" s="375"/>
      <c r="J34" s="372"/>
    </row>
    <row r="35" spans="1:10">
      <c r="A35" s="372"/>
      <c r="B35" s="375"/>
      <c r="C35" s="372"/>
      <c r="D35" s="375"/>
      <c r="E35" s="527"/>
      <c r="F35" s="372"/>
      <c r="G35" s="375"/>
      <c r="H35" s="372"/>
      <c r="I35" s="375"/>
      <c r="J35" s="372"/>
    </row>
    <row r="36" spans="1:10">
      <c r="A36" s="372"/>
      <c r="B36" s="376" t="s">
        <v>195</v>
      </c>
      <c r="C36" s="372"/>
      <c r="D36" s="375"/>
      <c r="E36" s="524">
        <f>SUM(E37:E39)</f>
        <v>58</v>
      </c>
      <c r="F36" s="369"/>
      <c r="G36" s="380">
        <f t="shared" ref="G36" si="2">I36/E36</f>
        <v>2741379.3103448274</v>
      </c>
      <c r="H36" s="369" t="s">
        <v>39</v>
      </c>
      <c r="I36" s="525">
        <f>SUM(I37:I39)</f>
        <v>159000000</v>
      </c>
      <c r="J36" s="369"/>
    </row>
    <row r="37" spans="1:10">
      <c r="A37" s="372">
        <v>25</v>
      </c>
      <c r="B37" s="375" t="s">
        <v>196</v>
      </c>
      <c r="C37" s="372"/>
      <c r="D37" s="375"/>
      <c r="E37" s="527">
        <v>10</v>
      </c>
      <c r="F37" s="372" t="s">
        <v>164</v>
      </c>
      <c r="G37" s="523">
        <f t="shared" ref="G37:G39" si="3">I37/E37</f>
        <v>4000000</v>
      </c>
      <c r="H37" s="372" t="s">
        <v>39</v>
      </c>
      <c r="I37" s="523">
        <v>40000000</v>
      </c>
      <c r="J37" s="372" t="s">
        <v>176</v>
      </c>
    </row>
    <row r="38" spans="1:10">
      <c r="A38" s="372">
        <v>26</v>
      </c>
      <c r="B38" s="375" t="s">
        <v>197</v>
      </c>
      <c r="C38" s="372"/>
      <c r="D38" s="375"/>
      <c r="E38" s="527">
        <v>24</v>
      </c>
      <c r="F38" s="372" t="s">
        <v>164</v>
      </c>
      <c r="G38" s="523">
        <f t="shared" si="3"/>
        <v>1958333.3333333333</v>
      </c>
      <c r="H38" s="372" t="s">
        <v>39</v>
      </c>
      <c r="I38" s="523">
        <v>47000000</v>
      </c>
      <c r="J38" s="372" t="s">
        <v>176</v>
      </c>
    </row>
    <row r="39" spans="1:10">
      <c r="A39" s="372">
        <v>27</v>
      </c>
      <c r="B39" s="375" t="s">
        <v>198</v>
      </c>
      <c r="C39" s="372"/>
      <c r="D39" s="375"/>
      <c r="E39" s="372">
        <v>24</v>
      </c>
      <c r="F39" s="372" t="s">
        <v>164</v>
      </c>
      <c r="G39" s="523">
        <f t="shared" si="3"/>
        <v>3000000</v>
      </c>
      <c r="H39" s="372" t="s">
        <v>39</v>
      </c>
      <c r="I39" s="523">
        <v>72000000</v>
      </c>
      <c r="J39" s="372" t="s">
        <v>176</v>
      </c>
    </row>
    <row r="40" spans="1:10">
      <c r="A40" s="372"/>
      <c r="B40" s="375" t="s">
        <v>199</v>
      </c>
      <c r="C40" s="372"/>
      <c r="D40" s="375"/>
      <c r="E40" s="372"/>
      <c r="F40" s="372"/>
      <c r="G40" s="375"/>
      <c r="H40" s="372"/>
      <c r="I40" s="375"/>
      <c r="J40" s="372"/>
    </row>
  </sheetData>
  <mergeCells count="8">
    <mergeCell ref="B1:B2"/>
    <mergeCell ref="A1:A2"/>
    <mergeCell ref="Q1:Q2"/>
    <mergeCell ref="C1:D1"/>
    <mergeCell ref="E1:F1"/>
    <mergeCell ref="G1:H1"/>
    <mergeCell ref="I1:J1"/>
    <mergeCell ref="L1:O1"/>
  </mergeCells>
  <pageMargins left="0.7" right="0.7" top="0.75" bottom="0.75" header="0.3" footer="0.3"/>
  <ignoredErrors>
    <ignoredError sqref="I18 E18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E22F3-8853-4D98-BC4A-F0E3BAF31930}">
  <sheetPr>
    <tabColor rgb="FFFF0000"/>
  </sheetPr>
  <dimension ref="A1:H11"/>
  <sheetViews>
    <sheetView workbookViewId="0">
      <selection activeCell="G10" sqref="G10"/>
    </sheetView>
  </sheetViews>
  <sheetFormatPr defaultColWidth="11" defaultRowHeight="13.9"/>
  <cols>
    <col min="1" max="1" width="35.375" bestFit="1" customWidth="1"/>
    <col min="2" max="8" width="13.125" bestFit="1" customWidth="1"/>
  </cols>
  <sheetData>
    <row r="1" spans="1:8" ht="15.6">
      <c r="A1" s="533" t="s">
        <v>200</v>
      </c>
      <c r="B1" s="534">
        <v>2024</v>
      </c>
      <c r="C1" s="534">
        <v>2025</v>
      </c>
      <c r="D1" s="534">
        <v>2026</v>
      </c>
      <c r="E1" s="534">
        <v>2027</v>
      </c>
      <c r="F1" s="534">
        <v>2028</v>
      </c>
      <c r="G1" s="534">
        <v>2029</v>
      </c>
      <c r="H1" s="534">
        <v>2030</v>
      </c>
    </row>
    <row r="2" spans="1:8" ht="15.6">
      <c r="A2" s="536" t="s">
        <v>201</v>
      </c>
      <c r="B2" s="537">
        <v>5.1400000000000001E-2</v>
      </c>
      <c r="C2" s="535"/>
      <c r="D2" s="535"/>
      <c r="E2" s="535"/>
      <c r="F2" s="535"/>
      <c r="G2" s="535"/>
      <c r="H2" s="535"/>
    </row>
    <row r="3" spans="1:8" ht="15.6">
      <c r="A3" s="535" t="s">
        <v>202</v>
      </c>
      <c r="B3" s="538">
        <v>55000</v>
      </c>
      <c r="C3" s="538">
        <f>B3+(B3*$B$2)</f>
        <v>57827</v>
      </c>
      <c r="D3" s="538">
        <f t="shared" ref="D3:H4" si="0">C3+(C3*$B$2)</f>
        <v>60799.307800000002</v>
      </c>
      <c r="E3" s="538">
        <f t="shared" si="0"/>
        <v>63924.392220920003</v>
      </c>
      <c r="F3" s="538">
        <f t="shared" si="0"/>
        <v>67210.105981075292</v>
      </c>
      <c r="G3" s="538">
        <f t="shared" si="0"/>
        <v>70664.705428502566</v>
      </c>
      <c r="H3" s="538">
        <f t="shared" si="0"/>
        <v>74296.871287527596</v>
      </c>
    </row>
    <row r="4" spans="1:8" ht="15.6">
      <c r="A4" s="535" t="s">
        <v>203</v>
      </c>
      <c r="B4" s="538">
        <v>95000</v>
      </c>
      <c r="C4" s="538">
        <f>B4+(B4*$B$2)</f>
        <v>99883</v>
      </c>
      <c r="D4" s="538">
        <f t="shared" si="0"/>
        <v>105016.9862</v>
      </c>
      <c r="E4" s="538">
        <f t="shared" si="0"/>
        <v>110414.85929068</v>
      </c>
      <c r="F4" s="538">
        <f t="shared" si="0"/>
        <v>116090.18305822095</v>
      </c>
      <c r="G4" s="538">
        <f t="shared" si="0"/>
        <v>122057.21846741351</v>
      </c>
      <c r="H4" s="538">
        <f t="shared" si="0"/>
        <v>128330.95949663856</v>
      </c>
    </row>
    <row r="5" spans="1:8" ht="15.6">
      <c r="A5" s="536" t="s">
        <v>204</v>
      </c>
      <c r="B5" s="538">
        <v>600000</v>
      </c>
      <c r="C5" s="538">
        <f t="shared" ref="C5:H7" si="1">B5+(B5*$B$2)</f>
        <v>630840</v>
      </c>
      <c r="D5" s="538">
        <f t="shared" si="1"/>
        <v>663265.17599999998</v>
      </c>
      <c r="E5" s="538">
        <f t="shared" si="1"/>
        <v>697357.00604639994</v>
      </c>
      <c r="F5" s="538">
        <f t="shared" si="1"/>
        <v>733201.15615718486</v>
      </c>
      <c r="G5" s="538">
        <f t="shared" si="1"/>
        <v>770887.69558366411</v>
      </c>
      <c r="H5" s="538">
        <f t="shared" si="1"/>
        <v>810511.32313666446</v>
      </c>
    </row>
    <row r="6" spans="1:8" ht="15.6">
      <c r="A6" s="535" t="s">
        <v>205</v>
      </c>
      <c r="B6" s="538">
        <v>2100000</v>
      </c>
      <c r="C6" s="538">
        <f t="shared" si="1"/>
        <v>2207940</v>
      </c>
      <c r="D6" s="538">
        <f t="shared" si="1"/>
        <v>2321428.1159999999</v>
      </c>
      <c r="E6" s="538">
        <f t="shared" si="1"/>
        <v>2440749.5211624</v>
      </c>
      <c r="F6" s="538">
        <f t="shared" si="1"/>
        <v>2566204.0465501472</v>
      </c>
      <c r="G6" s="538">
        <f t="shared" si="1"/>
        <v>2698106.934542825</v>
      </c>
      <c r="H6" s="538">
        <f t="shared" si="1"/>
        <v>2836789.6309783263</v>
      </c>
    </row>
    <row r="7" spans="1:8" ht="15.6">
      <c r="A7" s="535" t="s">
        <v>206</v>
      </c>
      <c r="B7" s="538">
        <v>7000000</v>
      </c>
      <c r="C7" s="538">
        <f t="shared" si="1"/>
        <v>7359800</v>
      </c>
      <c r="D7" s="538">
        <f t="shared" si="1"/>
        <v>7738093.7199999997</v>
      </c>
      <c r="E7" s="538">
        <f t="shared" si="1"/>
        <v>8135831.7372079995</v>
      </c>
      <c r="F7" s="538">
        <f t="shared" si="1"/>
        <v>8554013.4885004908</v>
      </c>
      <c r="G7" s="538">
        <f t="shared" si="1"/>
        <v>8993689.7818094157</v>
      </c>
      <c r="H7" s="538">
        <f t="shared" si="1"/>
        <v>9455965.4365944192</v>
      </c>
    </row>
    <row r="8" spans="1:8" ht="15.6">
      <c r="A8" s="536" t="s">
        <v>207</v>
      </c>
      <c r="B8" s="535"/>
      <c r="C8" s="535"/>
      <c r="D8" s="535"/>
      <c r="E8" s="535"/>
      <c r="F8" s="535"/>
      <c r="G8" s="535"/>
      <c r="H8" s="535"/>
    </row>
    <row r="9" spans="1:8" ht="15.6">
      <c r="A9" s="535" t="s">
        <v>208</v>
      </c>
      <c r="B9" s="539">
        <v>3</v>
      </c>
      <c r="C9" s="540" t="s">
        <v>209</v>
      </c>
      <c r="D9" s="535"/>
      <c r="E9" s="535"/>
      <c r="F9" s="535"/>
      <c r="G9" s="535"/>
      <c r="H9" s="535"/>
    </row>
    <row r="10" spans="1:8" ht="15.6">
      <c r="A10" s="535" t="s">
        <v>210</v>
      </c>
      <c r="B10" s="539">
        <v>18</v>
      </c>
      <c r="C10" s="540" t="s">
        <v>209</v>
      </c>
      <c r="D10" s="535"/>
      <c r="E10" s="535"/>
      <c r="F10" s="535"/>
      <c r="G10" s="535"/>
      <c r="H10" s="535"/>
    </row>
    <row r="11" spans="1:8" ht="15.6">
      <c r="A11" s="535" t="s">
        <v>211</v>
      </c>
      <c r="B11" s="539">
        <v>2</v>
      </c>
      <c r="C11" s="540" t="s">
        <v>212</v>
      </c>
      <c r="D11" s="535"/>
      <c r="E11" s="535"/>
      <c r="F11" s="535"/>
      <c r="G11" s="535"/>
      <c r="H11" s="53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F645B-1485-4A03-B402-9C6F67E13417}">
  <sheetPr>
    <tabColor rgb="FFFFFF00"/>
  </sheetPr>
  <dimension ref="A1:G36"/>
  <sheetViews>
    <sheetView topLeftCell="A24" zoomScale="130" zoomScaleNormal="130" workbookViewId="0">
      <selection activeCell="E41" sqref="E41"/>
    </sheetView>
  </sheetViews>
  <sheetFormatPr defaultColWidth="11" defaultRowHeight="13.9"/>
  <cols>
    <col min="1" max="1" width="43" style="40" bestFit="1" customWidth="1"/>
    <col min="2" max="2" width="13.25" style="40" bestFit="1" customWidth="1"/>
    <col min="3" max="3" width="15.625" bestFit="1" customWidth="1"/>
    <col min="4" max="4" width="7.125" style="40" bestFit="1" customWidth="1"/>
    <col min="5" max="5" width="14.625" style="38" bestFit="1" customWidth="1"/>
    <col min="6" max="6" width="7" style="40" bestFit="1" customWidth="1"/>
    <col min="7" max="7" width="9.375" bestFit="1" customWidth="1"/>
  </cols>
  <sheetData>
    <row r="1" spans="1:7">
      <c r="A1" s="1508" t="s">
        <v>213</v>
      </c>
      <c r="B1" s="1508"/>
      <c r="C1" s="1508"/>
      <c r="D1" s="1508"/>
      <c r="E1" s="1508"/>
      <c r="F1" s="1508"/>
      <c r="G1" s="1508"/>
    </row>
    <row r="2" spans="1:7" ht="20.45">
      <c r="A2" s="601" t="s">
        <v>214</v>
      </c>
      <c r="B2" s="601" t="s">
        <v>215</v>
      </c>
      <c r="C2" s="1507" t="s">
        <v>216</v>
      </c>
      <c r="D2" s="1507"/>
      <c r="E2" s="602" t="s">
        <v>217</v>
      </c>
      <c r="F2" s="601" t="s">
        <v>218</v>
      </c>
      <c r="G2" s="601" t="s">
        <v>219</v>
      </c>
    </row>
    <row r="3" spans="1:7">
      <c r="A3" s="541"/>
      <c r="B3" s="541"/>
      <c r="C3" s="542"/>
      <c r="D3" s="541" t="s">
        <v>220</v>
      </c>
      <c r="E3" s="543"/>
      <c r="F3" s="541"/>
      <c r="G3" s="542"/>
    </row>
    <row r="4" spans="1:7">
      <c r="A4" s="544" t="s">
        <v>163</v>
      </c>
      <c r="B4" s="545">
        <v>0.3</v>
      </c>
      <c r="C4" s="546">
        <f>E4*D4</f>
        <v>2275000</v>
      </c>
      <c r="D4" s="545">
        <v>0.35</v>
      </c>
      <c r="E4" s="547">
        <f>'00_Datos_Mercado'!Q3</f>
        <v>6500000</v>
      </c>
      <c r="F4" s="548">
        <v>0.113</v>
      </c>
      <c r="G4" s="549">
        <v>50</v>
      </c>
    </row>
    <row r="5" spans="1:7">
      <c r="A5" s="544" t="s">
        <v>165</v>
      </c>
      <c r="B5" s="545">
        <v>0.35</v>
      </c>
      <c r="C5" s="546">
        <f t="shared" ref="C5:C11" si="0">E5*D5</f>
        <v>2625000</v>
      </c>
      <c r="D5" s="545">
        <v>0.35</v>
      </c>
      <c r="E5" s="547">
        <f>'00_Datos_Mercado'!Q4</f>
        <v>7500000</v>
      </c>
      <c r="F5" s="548">
        <v>0.113</v>
      </c>
      <c r="G5" s="549">
        <v>70</v>
      </c>
    </row>
    <row r="6" spans="1:7">
      <c r="A6" s="544" t="s">
        <v>166</v>
      </c>
      <c r="B6" s="545">
        <v>0.5</v>
      </c>
      <c r="C6" s="546">
        <f t="shared" si="0"/>
        <v>1500000</v>
      </c>
      <c r="D6" s="545">
        <v>0.5</v>
      </c>
      <c r="E6" s="547">
        <f>'00_Datos_Mercado'!Q5</f>
        <v>3000000</v>
      </c>
      <c r="F6" s="548">
        <v>0.113</v>
      </c>
      <c r="G6" s="550" t="s">
        <v>49</v>
      </c>
    </row>
    <row r="7" spans="1:7">
      <c r="A7" s="544" t="s">
        <v>167</v>
      </c>
      <c r="B7" s="545">
        <v>0.35</v>
      </c>
      <c r="C7" s="546">
        <f t="shared" si="0"/>
        <v>4200000</v>
      </c>
      <c r="D7" s="545">
        <v>0.35</v>
      </c>
      <c r="E7" s="547">
        <f>'00_Datos_Mercado'!Q6</f>
        <v>12000000</v>
      </c>
      <c r="F7" s="548">
        <v>0.113</v>
      </c>
      <c r="G7" s="549">
        <v>150</v>
      </c>
    </row>
    <row r="8" spans="1:7">
      <c r="A8" s="544" t="s">
        <v>168</v>
      </c>
      <c r="B8" s="545">
        <v>0.35</v>
      </c>
      <c r="C8" s="546">
        <f t="shared" si="0"/>
        <v>3150000</v>
      </c>
      <c r="D8" s="545">
        <v>0.35</v>
      </c>
      <c r="E8" s="547">
        <f>'00_Datos_Mercado'!Q7</f>
        <v>9000000</v>
      </c>
      <c r="F8" s="548">
        <v>0.113</v>
      </c>
      <c r="G8" s="549">
        <v>50</v>
      </c>
    </row>
    <row r="9" spans="1:7">
      <c r="A9" s="544" t="s">
        <v>221</v>
      </c>
      <c r="B9" s="545">
        <v>0.2</v>
      </c>
      <c r="C9" s="546">
        <f t="shared" si="0"/>
        <v>3375000</v>
      </c>
      <c r="D9" s="545">
        <v>0.45</v>
      </c>
      <c r="E9" s="547">
        <f>'00_Datos_Mercado'!Q12</f>
        <v>7500000</v>
      </c>
      <c r="F9" s="548">
        <v>0.113</v>
      </c>
      <c r="G9" s="549">
        <v>70</v>
      </c>
    </row>
    <row r="10" spans="1:7">
      <c r="A10" s="544" t="s">
        <v>222</v>
      </c>
      <c r="B10" s="545">
        <v>0.2</v>
      </c>
      <c r="C10" s="546">
        <f t="shared" si="0"/>
        <v>2872578.515625</v>
      </c>
      <c r="D10" s="545">
        <v>0.45</v>
      </c>
      <c r="E10" s="547">
        <f>'00_Datos_Mercado'!Q13</f>
        <v>6383507.8125</v>
      </c>
      <c r="F10" s="548">
        <v>0.05</v>
      </c>
      <c r="G10" s="549">
        <v>48</v>
      </c>
    </row>
    <row r="11" spans="1:7">
      <c r="A11" s="544" t="s">
        <v>223</v>
      </c>
      <c r="B11" s="545">
        <v>0.2</v>
      </c>
      <c r="C11" s="546">
        <f t="shared" si="0"/>
        <v>1688372.6785714286</v>
      </c>
      <c r="D11" s="545">
        <v>0.45</v>
      </c>
      <c r="E11" s="547">
        <f>'00_Datos_Mercado'!Q14</f>
        <v>3751939.2857142859</v>
      </c>
      <c r="F11" s="548">
        <v>0.05</v>
      </c>
      <c r="G11" s="549">
        <v>42</v>
      </c>
    </row>
    <row r="12" spans="1:7">
      <c r="A12" s="544" t="s">
        <v>224</v>
      </c>
      <c r="B12" s="545"/>
      <c r="C12" s="546"/>
      <c r="D12" s="545"/>
      <c r="E12" s="547"/>
      <c r="F12" s="548">
        <v>0.05</v>
      </c>
      <c r="G12" s="549"/>
    </row>
    <row r="13" spans="1:7">
      <c r="A13" s="544" t="s">
        <v>225</v>
      </c>
      <c r="B13" s="545"/>
      <c r="C13" s="546"/>
      <c r="D13" s="541"/>
      <c r="E13" s="543"/>
      <c r="F13" s="545"/>
      <c r="G13" s="542"/>
    </row>
    <row r="14" spans="1:7">
      <c r="A14" s="551"/>
      <c r="B14" s="551"/>
      <c r="C14" s="546"/>
      <c r="D14" s="541"/>
      <c r="E14" s="543"/>
      <c r="F14" s="541"/>
      <c r="G14" s="542"/>
    </row>
    <row r="15" spans="1:7">
      <c r="A15" s="542" t="s">
        <v>226</v>
      </c>
      <c r="B15" s="541"/>
      <c r="C15" s="547">
        <v>200000</v>
      </c>
      <c r="D15" s="541" t="s">
        <v>39</v>
      </c>
      <c r="E15" s="543"/>
      <c r="F15" s="541"/>
      <c r="G15" s="542"/>
    </row>
    <row r="16" spans="1:7">
      <c r="A16" s="542" t="s">
        <v>227</v>
      </c>
      <c r="B16" s="541"/>
      <c r="C16" s="547">
        <v>450000</v>
      </c>
      <c r="D16" s="541" t="s">
        <v>39</v>
      </c>
      <c r="E16" s="543"/>
      <c r="F16" s="541"/>
      <c r="G16" s="542"/>
    </row>
    <row r="17" spans="1:7">
      <c r="A17" s="544" t="s">
        <v>228</v>
      </c>
      <c r="B17" s="541"/>
      <c r="C17" s="547">
        <v>3500000</v>
      </c>
      <c r="D17" s="541" t="s">
        <v>39</v>
      </c>
      <c r="E17" s="543"/>
      <c r="F17" s="541"/>
      <c r="G17" s="542"/>
    </row>
    <row r="18" spans="1:7">
      <c r="A18" s="544" t="s">
        <v>229</v>
      </c>
      <c r="B18" s="541"/>
      <c r="C18" s="547">
        <v>7800000</v>
      </c>
      <c r="D18" s="541" t="s">
        <v>39</v>
      </c>
      <c r="E18" s="543"/>
      <c r="F18" s="541"/>
      <c r="G18" s="542"/>
    </row>
    <row r="19" spans="1:7">
      <c r="A19" s="544" t="s">
        <v>230</v>
      </c>
      <c r="B19" s="541"/>
      <c r="C19" s="546"/>
      <c r="D19" s="541"/>
      <c r="E19" s="543"/>
      <c r="F19" s="541"/>
      <c r="G19" s="542"/>
    </row>
    <row r="20" spans="1:7">
      <c r="A20" s="544" t="s">
        <v>231</v>
      </c>
      <c r="B20" s="541"/>
      <c r="C20" s="546">
        <f>C9</f>
        <v>3375000</v>
      </c>
      <c r="D20" s="541" t="s">
        <v>39</v>
      </c>
      <c r="E20" s="543"/>
      <c r="F20" s="541"/>
      <c r="G20" s="542"/>
    </row>
    <row r="21" spans="1:7">
      <c r="A21" s="544" t="s">
        <v>232</v>
      </c>
      <c r="B21" s="541"/>
      <c r="C21" s="546">
        <v>1600000</v>
      </c>
      <c r="D21" s="541" t="s">
        <v>39</v>
      </c>
      <c r="E21" s="543"/>
      <c r="F21" s="541"/>
      <c r="G21" s="542"/>
    </row>
    <row r="22" spans="1:7">
      <c r="A22" s="541"/>
      <c r="B22" s="541"/>
      <c r="C22" s="546"/>
      <c r="D22" s="541"/>
      <c r="E22" s="543"/>
      <c r="F22" s="541"/>
      <c r="G22" s="542"/>
    </row>
    <row r="23" spans="1:7">
      <c r="A23" s="544" t="s">
        <v>233</v>
      </c>
      <c r="B23" s="541"/>
      <c r="C23" s="547">
        <v>3535000</v>
      </c>
      <c r="D23" s="541" t="s">
        <v>39</v>
      </c>
      <c r="E23" s="543"/>
      <c r="F23" s="541"/>
      <c r="G23" s="542"/>
    </row>
    <row r="24" spans="1:7">
      <c r="A24" s="541" t="s">
        <v>234</v>
      </c>
      <c r="B24" s="541"/>
      <c r="C24" s="546"/>
      <c r="D24" s="541"/>
      <c r="E24" s="543"/>
      <c r="F24" s="541"/>
      <c r="G24" s="542"/>
    </row>
    <row r="25" spans="1:7">
      <c r="A25" s="541"/>
      <c r="B25" s="541"/>
      <c r="C25" s="546"/>
      <c r="D25" s="541"/>
      <c r="E25" s="543"/>
      <c r="F25" s="541"/>
      <c r="G25" s="542"/>
    </row>
    <row r="26" spans="1:7">
      <c r="A26" s="544" t="s">
        <v>235</v>
      </c>
      <c r="B26" s="541"/>
      <c r="C26" s="547">
        <v>50000000</v>
      </c>
      <c r="D26" s="541" t="s">
        <v>56</v>
      </c>
      <c r="E26" s="543"/>
      <c r="F26" s="541"/>
      <c r="G26" s="542"/>
    </row>
    <row r="27" spans="1:7">
      <c r="A27" s="544" t="s">
        <v>236</v>
      </c>
      <c r="B27" s="541"/>
      <c r="C27" s="547">
        <v>1500000</v>
      </c>
      <c r="D27" s="541" t="s">
        <v>39</v>
      </c>
      <c r="E27" s="543"/>
      <c r="F27" s="541"/>
      <c r="G27" s="542"/>
    </row>
    <row r="28" spans="1:7">
      <c r="A28" s="544" t="s">
        <v>237</v>
      </c>
      <c r="B28" s="541"/>
      <c r="C28" s="549">
        <v>25</v>
      </c>
      <c r="D28" s="541" t="s">
        <v>164</v>
      </c>
      <c r="E28" s="543"/>
      <c r="F28" s="541"/>
      <c r="G28" s="542"/>
    </row>
    <row r="29" spans="1:7">
      <c r="A29" s="541"/>
      <c r="B29" s="541"/>
      <c r="C29" s="542"/>
      <c r="D29" s="541"/>
      <c r="E29" s="543"/>
      <c r="F29" s="541"/>
      <c r="G29" s="542"/>
    </row>
    <row r="30" spans="1:7">
      <c r="A30" s="1509" t="s">
        <v>238</v>
      </c>
      <c r="B30" s="1509"/>
      <c r="C30" s="1509"/>
      <c r="D30" s="1509"/>
      <c r="E30" s="543"/>
      <c r="F30" s="541"/>
      <c r="G30" s="542"/>
    </row>
    <row r="31" spans="1:7">
      <c r="A31" s="553" t="s">
        <v>0</v>
      </c>
      <c r="B31" s="553" t="s">
        <v>1</v>
      </c>
      <c r="C31" s="554" t="s">
        <v>239</v>
      </c>
      <c r="D31" s="553" t="s">
        <v>56</v>
      </c>
      <c r="E31" s="543"/>
      <c r="F31" s="541"/>
      <c r="G31" s="542"/>
    </row>
    <row r="32" spans="1:7">
      <c r="A32" s="541">
        <v>1</v>
      </c>
      <c r="B32" s="541" t="s">
        <v>240</v>
      </c>
      <c r="C32" s="547">
        <v>450000000</v>
      </c>
      <c r="D32" s="541" t="s">
        <v>241</v>
      </c>
      <c r="E32" s="543"/>
      <c r="F32" s="541"/>
      <c r="G32" s="542"/>
    </row>
    <row r="33" spans="1:7">
      <c r="A33" s="541">
        <v>2</v>
      </c>
      <c r="B33" s="541" t="s">
        <v>242</v>
      </c>
      <c r="C33" s="552">
        <v>20</v>
      </c>
      <c r="D33" s="541" t="s">
        <v>243</v>
      </c>
      <c r="E33" s="543"/>
      <c r="F33" s="541"/>
      <c r="G33" s="542"/>
    </row>
    <row r="34" spans="1:7">
      <c r="A34" s="541">
        <v>3</v>
      </c>
      <c r="B34" s="541" t="s">
        <v>244</v>
      </c>
      <c r="C34" s="547">
        <f>C32*C33</f>
        <v>9000000000</v>
      </c>
      <c r="D34" s="541" t="s">
        <v>176</v>
      </c>
      <c r="E34" s="543"/>
      <c r="F34" s="541"/>
      <c r="G34" s="542"/>
    </row>
    <row r="35" spans="1:7">
      <c r="A35" s="541"/>
      <c r="B35" s="541"/>
      <c r="C35" s="542"/>
      <c r="D35" s="541"/>
      <c r="E35" s="543"/>
      <c r="F35" s="541"/>
      <c r="G35" s="542"/>
    </row>
    <row r="36" spans="1:7">
      <c r="A36" s="541"/>
      <c r="B36" s="541" t="s">
        <v>245</v>
      </c>
      <c r="C36" s="542"/>
      <c r="D36" s="541"/>
      <c r="E36" s="543"/>
      <c r="F36" s="541"/>
      <c r="G36" s="542"/>
    </row>
  </sheetData>
  <mergeCells count="3">
    <mergeCell ref="C2:D2"/>
    <mergeCell ref="A1:G1"/>
    <mergeCell ref="A30:D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4C22D-D2B4-46E1-ABE0-3A64F400FAFC}">
  <dimension ref="A1:R40"/>
  <sheetViews>
    <sheetView zoomScale="70" zoomScaleNormal="70" workbookViewId="0">
      <selection activeCell="P2" sqref="P2:R3"/>
    </sheetView>
  </sheetViews>
  <sheetFormatPr defaultColWidth="11" defaultRowHeight="13.9"/>
  <cols>
    <col min="1" max="1" width="6.25" style="40" bestFit="1" customWidth="1"/>
    <col min="2" max="2" width="15.25" style="40" bestFit="1" customWidth="1"/>
    <col min="3" max="3" width="18.25" style="40" bestFit="1" customWidth="1"/>
    <col min="4" max="4" width="15.75" bestFit="1" customWidth="1"/>
    <col min="5" max="5" width="16.75" bestFit="1" customWidth="1"/>
    <col min="6" max="6" width="24.25" style="91" bestFit="1" customWidth="1"/>
    <col min="7" max="7" width="20.125" bestFit="1" customWidth="1"/>
    <col min="8" max="8" width="35.375" bestFit="1" customWidth="1"/>
    <col min="9" max="9" width="13.625" style="91" bestFit="1" customWidth="1"/>
    <col min="10" max="10" width="24.25" style="91" bestFit="1" customWidth="1"/>
    <col min="11" max="11" width="22.875" bestFit="1" customWidth="1"/>
    <col min="12" max="12" width="24.25" bestFit="1" customWidth="1"/>
    <col min="13" max="13" width="25.75" bestFit="1" customWidth="1"/>
    <col min="14" max="14" width="16.375" style="91" bestFit="1" customWidth="1"/>
    <col min="16" max="16" width="22.625" bestFit="1" customWidth="1"/>
    <col min="17" max="17" width="24.625" bestFit="1" customWidth="1"/>
    <col min="18" max="18" width="25.75" bestFit="1" customWidth="1"/>
  </cols>
  <sheetData>
    <row r="1" spans="1:18" ht="17.45">
      <c r="A1" s="603" t="s">
        <v>246</v>
      </c>
      <c r="B1" s="603"/>
      <c r="C1" s="604"/>
      <c r="D1" s="605"/>
      <c r="E1" s="606"/>
      <c r="F1" s="607"/>
      <c r="G1" s="606"/>
      <c r="H1" s="606"/>
      <c r="I1" s="607"/>
      <c r="J1" s="607"/>
      <c r="K1" s="606"/>
      <c r="L1" s="606"/>
      <c r="M1" s="606"/>
      <c r="N1" s="607"/>
    </row>
    <row r="2" spans="1:18" ht="15" customHeight="1">
      <c r="A2" s="1511" t="s">
        <v>247</v>
      </c>
      <c r="B2" s="1511"/>
      <c r="C2" s="1511"/>
      <c r="D2" s="1512" t="s">
        <v>248</v>
      </c>
      <c r="E2" s="1512"/>
      <c r="F2" s="1512"/>
      <c r="G2" s="1512" t="s">
        <v>249</v>
      </c>
      <c r="H2" s="1512"/>
      <c r="I2" s="1512"/>
      <c r="J2" s="1512"/>
      <c r="K2" s="1512"/>
      <c r="L2" s="1512"/>
      <c r="M2" s="1510" t="s">
        <v>250</v>
      </c>
      <c r="N2" s="1510" t="s">
        <v>251</v>
      </c>
      <c r="P2" s="1512" t="s">
        <v>252</v>
      </c>
      <c r="Q2" s="1512" t="s">
        <v>253</v>
      </c>
      <c r="R2" s="1510" t="s">
        <v>250</v>
      </c>
    </row>
    <row r="3" spans="1:18" ht="41.45">
      <c r="A3" s="176" t="s">
        <v>254</v>
      </c>
      <c r="B3" s="176" t="s">
        <v>255</v>
      </c>
      <c r="C3" s="176" t="s">
        <v>256</v>
      </c>
      <c r="D3" s="121" t="s">
        <v>257</v>
      </c>
      <c r="E3" s="608" t="s">
        <v>258</v>
      </c>
      <c r="F3" s="122" t="s">
        <v>259</v>
      </c>
      <c r="G3" s="176" t="s">
        <v>260</v>
      </c>
      <c r="H3" s="176" t="s">
        <v>261</v>
      </c>
      <c r="I3" s="1513" t="s">
        <v>262</v>
      </c>
      <c r="J3" s="1513"/>
      <c r="K3" s="176" t="s">
        <v>263</v>
      </c>
      <c r="L3" s="176" t="s">
        <v>259</v>
      </c>
      <c r="M3" s="1510"/>
      <c r="N3" s="1510"/>
      <c r="P3" s="1512"/>
      <c r="Q3" s="1512"/>
      <c r="R3" s="1510"/>
    </row>
    <row r="4" spans="1:18">
      <c r="A4" s="92"/>
      <c r="B4" s="92"/>
      <c r="C4" s="92"/>
      <c r="D4" s="93"/>
      <c r="E4" s="94"/>
      <c r="F4" s="95"/>
      <c r="G4" s="92"/>
      <c r="H4" s="92"/>
      <c r="I4" s="95"/>
      <c r="J4" s="95"/>
      <c r="K4" s="96">
        <v>7.0000000000000007E-2</v>
      </c>
      <c r="L4" s="92"/>
      <c r="M4" s="94"/>
      <c r="N4" s="94"/>
      <c r="P4" s="100">
        <v>70000</v>
      </c>
      <c r="Q4" s="190"/>
      <c r="R4" s="190"/>
    </row>
    <row r="5" spans="1:18">
      <c r="A5" s="92"/>
      <c r="B5" s="92"/>
      <c r="C5" s="92"/>
      <c r="D5" s="93"/>
      <c r="E5" s="94"/>
      <c r="F5" s="95"/>
      <c r="G5" s="92"/>
      <c r="H5" s="92"/>
      <c r="I5" s="95"/>
      <c r="J5" s="95"/>
      <c r="K5" s="96"/>
      <c r="L5" s="92"/>
      <c r="M5" s="94"/>
      <c r="N5" s="94"/>
      <c r="P5" s="178" t="s">
        <v>39</v>
      </c>
      <c r="Q5" s="178"/>
      <c r="R5" s="178"/>
    </row>
    <row r="6" spans="1:18" s="106" customFormat="1">
      <c r="A6" s="102"/>
      <c r="B6" s="102"/>
      <c r="C6" s="102"/>
      <c r="D6" s="103">
        <f>SUM(D7:D37)</f>
        <v>164776.711307171</v>
      </c>
      <c r="E6" s="104"/>
      <c r="F6" s="105">
        <f>SUM(F7:F37)</f>
        <v>582485674470.84949</v>
      </c>
      <c r="G6" s="103">
        <f>SUM(G7:G37)</f>
        <v>308974.12999999989</v>
      </c>
      <c r="H6" s="104"/>
      <c r="I6" s="105"/>
      <c r="J6" s="105">
        <f>SUM(J7:J37)</f>
        <v>620450126000</v>
      </c>
      <c r="K6" s="105">
        <f>SUM(K7:K37)</f>
        <v>43431508820.000008</v>
      </c>
      <c r="L6" s="105">
        <f>SUM(L7:L37)</f>
        <v>663881634820</v>
      </c>
      <c r="M6" s="105">
        <f>SUM(M7:M37)</f>
        <v>1246367309290.8494</v>
      </c>
      <c r="N6" s="105">
        <f t="shared" ref="N6:N37" si="0">M6/D6</f>
        <v>7563977.3327397881</v>
      </c>
      <c r="P6" s="105">
        <f>SUM(P7:P37)</f>
        <v>21628189100</v>
      </c>
      <c r="Q6" s="105">
        <f>SUM(Q7:Q37)</f>
        <v>642253445720</v>
      </c>
      <c r="R6" s="105">
        <f>SUM(R7:R37)</f>
        <v>1224739120190.8494</v>
      </c>
    </row>
    <row r="7" spans="1:18">
      <c r="A7" s="97">
        <f>'04a_PROPUESTA_MO'!R9</f>
        <v>1</v>
      </c>
      <c r="B7" s="108" t="s">
        <v>264</v>
      </c>
      <c r="C7" s="98">
        <f>'04a_PROPUESTA_MO'!S9</f>
        <v>21</v>
      </c>
      <c r="D7" s="99">
        <f>'04a_PROPUESTA_MO'!P9</f>
        <v>16461.200400000002</v>
      </c>
      <c r="E7" s="109">
        <f>'00_Datos_General'!C$23</f>
        <v>3535000</v>
      </c>
      <c r="F7" s="100">
        <f>D7*E7</f>
        <v>58190343414.000008</v>
      </c>
      <c r="G7" s="99">
        <f>'04a_PROPUESTA_MO'!I9</f>
        <v>43867.5</v>
      </c>
      <c r="H7" s="97" t="s">
        <v>25</v>
      </c>
      <c r="I7" s="100">
        <f>VLOOKUP(H7,'00_DATOS_1'!$B$26:$D$34,3)</f>
        <v>1900000</v>
      </c>
      <c r="J7" s="100">
        <f>G7*I7</f>
        <v>83348250000</v>
      </c>
      <c r="K7" s="101">
        <f>J7*$K$4</f>
        <v>5834377500.000001</v>
      </c>
      <c r="L7" s="101">
        <f>J7+K7</f>
        <v>89182627500</v>
      </c>
      <c r="M7" s="101">
        <f t="shared" ref="M7:M37" si="1">F7+L7</f>
        <v>147372970914</v>
      </c>
      <c r="N7" s="100">
        <f t="shared" si="0"/>
        <v>8952747.5112932827</v>
      </c>
      <c r="P7" s="100">
        <f>G7*$P$4</f>
        <v>3070725000</v>
      </c>
      <c r="Q7" s="101">
        <f>L7-P7</f>
        <v>86111902500</v>
      </c>
      <c r="R7" s="101">
        <f>F7+Q7</f>
        <v>144302245914</v>
      </c>
    </row>
    <row r="8" spans="1:18">
      <c r="A8" s="97">
        <f>'04a_PROPUESTA_MO'!R10</f>
        <v>1</v>
      </c>
      <c r="B8" s="108" t="s">
        <v>265</v>
      </c>
      <c r="C8" s="98">
        <f>'04a_PROPUESTA_MO'!S10</f>
        <v>20</v>
      </c>
      <c r="D8" s="99">
        <f>'04a_PROPUESTA_MO'!P10</f>
        <v>807.04813473599995</v>
      </c>
      <c r="E8" s="109">
        <f>'00_Datos_General'!C$23</f>
        <v>3535000</v>
      </c>
      <c r="F8" s="100">
        <f t="shared" ref="F8:F37" si="2">D8*E8</f>
        <v>2852915156.29176</v>
      </c>
      <c r="G8" s="99">
        <f>'04a_PROPUESTA_MO'!I10</f>
        <v>811</v>
      </c>
      <c r="H8" s="97" t="s">
        <v>22</v>
      </c>
      <c r="I8" s="100">
        <f>VLOOKUP(H8,'00_DATOS_1'!$B$26:$D$34,3)</f>
        <v>2200000</v>
      </c>
      <c r="J8" s="100">
        <f t="shared" ref="J8:J37" si="3">G8*I8</f>
        <v>1784200000</v>
      </c>
      <c r="K8" s="101">
        <f t="shared" ref="K8:K37" si="4">J8*$K$4</f>
        <v>124894000.00000001</v>
      </c>
      <c r="L8" s="101">
        <f t="shared" ref="L8:L37" si="5">J8+K8</f>
        <v>1909094000</v>
      </c>
      <c r="M8" s="101">
        <f t="shared" si="1"/>
        <v>4762009156.2917595</v>
      </c>
      <c r="N8" s="100">
        <f t="shared" si="0"/>
        <v>5900526.8103983644</v>
      </c>
      <c r="P8" s="100">
        <f t="shared" ref="P8:P37" si="6">G8*$P$4</f>
        <v>56770000</v>
      </c>
      <c r="Q8" s="101">
        <f t="shared" ref="Q8:Q37" si="7">L8-P8</f>
        <v>1852324000</v>
      </c>
      <c r="R8" s="101">
        <f t="shared" ref="R8:R37" si="8">F8+Q8</f>
        <v>4705239156.2917595</v>
      </c>
    </row>
    <row r="9" spans="1:18">
      <c r="A9" s="97">
        <f>'04a_PROPUESTA_MO'!R11</f>
        <v>2</v>
      </c>
      <c r="B9" s="108" t="s">
        <v>266</v>
      </c>
      <c r="C9" s="98">
        <f>'04a_PROPUESTA_MO'!S11</f>
        <v>18</v>
      </c>
      <c r="D9" s="99">
        <f>'04a_PROPUESTA_MO'!P11</f>
        <v>811.64101487899995</v>
      </c>
      <c r="E9" s="109">
        <f>'00_Datos_General'!C$23</f>
        <v>3535000</v>
      </c>
      <c r="F9" s="100">
        <f t="shared" si="2"/>
        <v>2869150987.5972648</v>
      </c>
      <c r="G9" s="99">
        <f>'04a_PROPUESTA_MO'!I11</f>
        <v>811.9</v>
      </c>
      <c r="H9" s="97" t="s">
        <v>25</v>
      </c>
      <c r="I9" s="100">
        <f>VLOOKUP(H9,'00_DATOS_1'!$B$26:$D$34,3)</f>
        <v>1900000</v>
      </c>
      <c r="J9" s="100">
        <f t="shared" si="3"/>
        <v>1542610000</v>
      </c>
      <c r="K9" s="101">
        <f t="shared" si="4"/>
        <v>107982700.00000001</v>
      </c>
      <c r="L9" s="101">
        <f t="shared" si="5"/>
        <v>1650592700</v>
      </c>
      <c r="M9" s="101">
        <f t="shared" si="1"/>
        <v>4519743687.5972652</v>
      </c>
      <c r="N9" s="100">
        <f t="shared" si="0"/>
        <v>5568648.7064371333</v>
      </c>
      <c r="P9" s="100">
        <f t="shared" si="6"/>
        <v>56833000</v>
      </c>
      <c r="Q9" s="101">
        <f t="shared" si="7"/>
        <v>1593759700</v>
      </c>
      <c r="R9" s="101">
        <f t="shared" si="8"/>
        <v>4462910687.5972652</v>
      </c>
    </row>
    <row r="10" spans="1:18">
      <c r="A10" s="97">
        <f>'04a_PROPUESTA_MO'!R12</f>
        <v>2</v>
      </c>
      <c r="B10" s="108" t="s">
        <v>264</v>
      </c>
      <c r="C10" s="98">
        <f>'04a_PROPUESTA_MO'!S12</f>
        <v>21</v>
      </c>
      <c r="D10" s="99">
        <f>'04a_PROPUESTA_MO'!P12</f>
        <v>12352.429099999999</v>
      </c>
      <c r="E10" s="109">
        <f>'00_Datos_General'!C$23</f>
        <v>3535000</v>
      </c>
      <c r="F10" s="100">
        <f t="shared" si="2"/>
        <v>43665836868.5</v>
      </c>
      <c r="G10" s="99">
        <f>'04a_PROPUESTA_MO'!I12</f>
        <v>43867.5</v>
      </c>
      <c r="H10" s="97" t="s">
        <v>25</v>
      </c>
      <c r="I10" s="100">
        <f>VLOOKUP(H10,'00_DATOS_1'!$B$26:$D$34,3)</f>
        <v>1900000</v>
      </c>
      <c r="J10" s="100">
        <f t="shared" si="3"/>
        <v>83348250000</v>
      </c>
      <c r="K10" s="101">
        <f t="shared" si="4"/>
        <v>5834377500.000001</v>
      </c>
      <c r="L10" s="101">
        <f t="shared" si="5"/>
        <v>89182627500</v>
      </c>
      <c r="M10" s="101">
        <f t="shared" si="1"/>
        <v>132848464368.5</v>
      </c>
      <c r="N10" s="100">
        <f t="shared" si="0"/>
        <v>10754845.325807214</v>
      </c>
      <c r="P10" s="100">
        <f t="shared" si="6"/>
        <v>3070725000</v>
      </c>
      <c r="Q10" s="101">
        <f t="shared" si="7"/>
        <v>86111902500</v>
      </c>
      <c r="R10" s="101">
        <f t="shared" si="8"/>
        <v>129777739368.5</v>
      </c>
    </row>
    <row r="11" spans="1:18">
      <c r="A11" s="97">
        <f>'04a_PROPUESTA_MO'!R13</f>
        <v>2</v>
      </c>
      <c r="B11" s="108" t="s">
        <v>267</v>
      </c>
      <c r="C11" s="98">
        <f>'04a_PROPUESTA_MO'!S13</f>
        <v>19</v>
      </c>
      <c r="D11" s="99">
        <f>'04a_PROPUESTA_MO'!P13</f>
        <v>812.16271328100004</v>
      </c>
      <c r="E11" s="109">
        <f>'00_Datos_General'!C$23</f>
        <v>3535000</v>
      </c>
      <c r="F11" s="100">
        <f t="shared" si="2"/>
        <v>2870995191.4483352</v>
      </c>
      <c r="G11" s="99">
        <f>'04a_PROPUESTA_MO'!I13</f>
        <v>812.2</v>
      </c>
      <c r="H11" s="97" t="s">
        <v>22</v>
      </c>
      <c r="I11" s="100">
        <f>VLOOKUP(H11,'00_DATOS_1'!$B$26:$D$34,3)</f>
        <v>2200000</v>
      </c>
      <c r="J11" s="100">
        <f t="shared" si="3"/>
        <v>1786840000</v>
      </c>
      <c r="K11" s="101">
        <f t="shared" si="4"/>
        <v>125078800.00000001</v>
      </c>
      <c r="L11" s="101">
        <f t="shared" si="5"/>
        <v>1911918800</v>
      </c>
      <c r="M11" s="101">
        <f t="shared" si="1"/>
        <v>4782913991.4483356</v>
      </c>
      <c r="N11" s="100">
        <f t="shared" si="0"/>
        <v>5889108.0730931023</v>
      </c>
      <c r="P11" s="100">
        <f t="shared" si="6"/>
        <v>56854000</v>
      </c>
      <c r="Q11" s="101">
        <f t="shared" si="7"/>
        <v>1855064800</v>
      </c>
      <c r="R11" s="101">
        <f t="shared" si="8"/>
        <v>4726059991.4483356</v>
      </c>
    </row>
    <row r="12" spans="1:18">
      <c r="A12" s="97">
        <f>'04a_PROPUESTA_MO'!R14</f>
        <v>2</v>
      </c>
      <c r="B12" s="108" t="s">
        <v>268</v>
      </c>
      <c r="C12" s="98">
        <f>'04a_PROPUESTA_MO'!S14</f>
        <v>16</v>
      </c>
      <c r="D12" s="99">
        <f>'04a_PROPUESTA_MO'!P14</f>
        <v>813.94624626899997</v>
      </c>
      <c r="E12" s="109">
        <f>'00_Datos_General'!C$23</f>
        <v>3535000</v>
      </c>
      <c r="F12" s="100">
        <f t="shared" si="2"/>
        <v>2877299980.560915</v>
      </c>
      <c r="G12" s="99">
        <f>'04a_PROPUESTA_MO'!I14</f>
        <v>575</v>
      </c>
      <c r="H12" s="97" t="s">
        <v>25</v>
      </c>
      <c r="I12" s="100">
        <f>VLOOKUP(H12,'00_DATOS_1'!$B$26:$D$34,3)</f>
        <v>1900000</v>
      </c>
      <c r="J12" s="100">
        <f t="shared" si="3"/>
        <v>1092500000</v>
      </c>
      <c r="K12" s="101">
        <f t="shared" si="4"/>
        <v>76475000</v>
      </c>
      <c r="L12" s="101">
        <f t="shared" si="5"/>
        <v>1168975000</v>
      </c>
      <c r="M12" s="101">
        <f t="shared" si="1"/>
        <v>4046274980.560915</v>
      </c>
      <c r="N12" s="100">
        <f t="shared" si="0"/>
        <v>4971182.0640593842</v>
      </c>
      <c r="P12" s="100">
        <f t="shared" si="6"/>
        <v>40250000</v>
      </c>
      <c r="Q12" s="101">
        <f t="shared" si="7"/>
        <v>1128725000</v>
      </c>
      <c r="R12" s="101">
        <f t="shared" si="8"/>
        <v>4006024980.560915</v>
      </c>
    </row>
    <row r="13" spans="1:18">
      <c r="A13" s="97">
        <f>'04a_PROPUESTA_MO'!R15</f>
        <v>2</v>
      </c>
      <c r="B13" s="108" t="s">
        <v>269</v>
      </c>
      <c r="C13" s="98">
        <f>'04a_PROPUESTA_MO'!S15</f>
        <v>17</v>
      </c>
      <c r="D13" s="99">
        <f>'04a_PROPUESTA_MO'!P15</f>
        <v>812.35243710700001</v>
      </c>
      <c r="E13" s="109">
        <f>'00_Datos_General'!C$23</f>
        <v>3535000</v>
      </c>
      <c r="F13" s="100">
        <f t="shared" si="2"/>
        <v>2871665865.173245</v>
      </c>
      <c r="G13" s="99">
        <f>'04a_PROPUESTA_MO'!I15</f>
        <v>1024.7</v>
      </c>
      <c r="H13" s="97" t="s">
        <v>22</v>
      </c>
      <c r="I13" s="100">
        <f>VLOOKUP(H13,'00_DATOS_1'!$B$26:$D$34,3)</f>
        <v>2200000</v>
      </c>
      <c r="J13" s="100">
        <f t="shared" si="3"/>
        <v>2254340000</v>
      </c>
      <c r="K13" s="101">
        <f t="shared" si="4"/>
        <v>157803800.00000003</v>
      </c>
      <c r="L13" s="101">
        <f t="shared" si="5"/>
        <v>2412143800</v>
      </c>
      <c r="M13" s="101">
        <f t="shared" si="1"/>
        <v>5283809665.1732445</v>
      </c>
      <c r="N13" s="100">
        <f t="shared" si="0"/>
        <v>6504331.6469761273</v>
      </c>
      <c r="P13" s="100">
        <f t="shared" si="6"/>
        <v>71729000</v>
      </c>
      <c r="Q13" s="101">
        <f t="shared" si="7"/>
        <v>2340414800</v>
      </c>
      <c r="R13" s="101">
        <f t="shared" si="8"/>
        <v>5212080665.1732445</v>
      </c>
    </row>
    <row r="14" spans="1:18">
      <c r="A14" s="97">
        <f>'04a_PROPUESTA_MO'!R16</f>
        <v>3</v>
      </c>
      <c r="B14" s="108" t="s">
        <v>270</v>
      </c>
      <c r="C14" s="98">
        <f>'04a_PROPUESTA_MO'!S16</f>
        <v>13</v>
      </c>
      <c r="D14" s="99">
        <f>'04a_PROPUESTA_MO'!P16</f>
        <v>817.516231199</v>
      </c>
      <c r="E14" s="109">
        <f>'00_Datos_General'!C$23</f>
        <v>3535000</v>
      </c>
      <c r="F14" s="100">
        <f t="shared" si="2"/>
        <v>2889919877.288465</v>
      </c>
      <c r="G14" s="99">
        <f>'04a_PROPUESTA_MO'!I16</f>
        <v>820</v>
      </c>
      <c r="H14" s="97" t="s">
        <v>22</v>
      </c>
      <c r="I14" s="100">
        <f>VLOOKUP(H14,'00_DATOS_1'!$B$26:$D$34,3)</f>
        <v>2200000</v>
      </c>
      <c r="J14" s="100">
        <f t="shared" si="3"/>
        <v>1804000000</v>
      </c>
      <c r="K14" s="101">
        <f t="shared" si="4"/>
        <v>126280000.00000001</v>
      </c>
      <c r="L14" s="101">
        <f t="shared" si="5"/>
        <v>1930280000</v>
      </c>
      <c r="M14" s="101">
        <f t="shared" si="1"/>
        <v>4820199877.2884655</v>
      </c>
      <c r="N14" s="100">
        <f t="shared" si="0"/>
        <v>5896151.8968485547</v>
      </c>
      <c r="P14" s="100">
        <f t="shared" si="6"/>
        <v>57400000</v>
      </c>
      <c r="Q14" s="101">
        <f t="shared" si="7"/>
        <v>1872880000</v>
      </c>
      <c r="R14" s="101">
        <f t="shared" si="8"/>
        <v>4762799877.2884655</v>
      </c>
    </row>
    <row r="15" spans="1:18">
      <c r="A15" s="97">
        <f>'04a_PROPUESTA_MO'!R17</f>
        <v>3</v>
      </c>
      <c r="B15" s="108" t="s">
        <v>271</v>
      </c>
      <c r="C15" s="98">
        <f>'04a_PROPUESTA_MO'!S17</f>
        <v>15</v>
      </c>
      <c r="D15" s="99">
        <f>'04a_PROPUESTA_MO'!P17</f>
        <v>814.02717380900003</v>
      </c>
      <c r="E15" s="109">
        <f>'00_Datos_General'!C$23</f>
        <v>3535000</v>
      </c>
      <c r="F15" s="100">
        <f t="shared" si="2"/>
        <v>2877586059.4148149</v>
      </c>
      <c r="G15" s="99">
        <f>'04a_PROPUESTA_MO'!I17</f>
        <v>554</v>
      </c>
      <c r="H15" s="97" t="s">
        <v>25</v>
      </c>
      <c r="I15" s="100">
        <f>VLOOKUP(H15,'00_DATOS_1'!$B$26:$D$34,3)</f>
        <v>1900000</v>
      </c>
      <c r="J15" s="100">
        <f t="shared" si="3"/>
        <v>1052600000</v>
      </c>
      <c r="K15" s="101">
        <f t="shared" si="4"/>
        <v>73682000</v>
      </c>
      <c r="L15" s="101">
        <f t="shared" si="5"/>
        <v>1126282000</v>
      </c>
      <c r="M15" s="101">
        <f t="shared" si="1"/>
        <v>4003868059.4148149</v>
      </c>
      <c r="N15" s="100">
        <f t="shared" si="0"/>
        <v>4918592.6320860954</v>
      </c>
      <c r="P15" s="100">
        <f t="shared" si="6"/>
        <v>38780000</v>
      </c>
      <c r="Q15" s="101">
        <f t="shared" si="7"/>
        <v>1087502000</v>
      </c>
      <c r="R15" s="101">
        <f t="shared" si="8"/>
        <v>3965088059.4148149</v>
      </c>
    </row>
    <row r="16" spans="1:18">
      <c r="A16" s="97">
        <f>'04a_PROPUESTA_MO'!R18</f>
        <v>3</v>
      </c>
      <c r="B16" s="108" t="s">
        <v>272</v>
      </c>
      <c r="C16" s="98">
        <f>'04a_PROPUESTA_MO'!S18</f>
        <v>14</v>
      </c>
      <c r="D16" s="99">
        <f>'04a_PROPUESTA_MO'!P18</f>
        <v>1634.6309675800001</v>
      </c>
      <c r="E16" s="109">
        <f>'00_Datos_General'!C$23</f>
        <v>3535000</v>
      </c>
      <c r="F16" s="100">
        <f t="shared" si="2"/>
        <v>5778420470.3952999</v>
      </c>
      <c r="G16" s="99">
        <f>'04a_PROPUESTA_MO'!I18</f>
        <v>1640</v>
      </c>
      <c r="H16" s="97" t="s">
        <v>22</v>
      </c>
      <c r="I16" s="100">
        <f>VLOOKUP(H16,'00_DATOS_1'!$B$26:$D$34,3)</f>
        <v>2200000</v>
      </c>
      <c r="J16" s="100">
        <f t="shared" si="3"/>
        <v>3608000000</v>
      </c>
      <c r="K16" s="101">
        <f t="shared" si="4"/>
        <v>252560000.00000003</v>
      </c>
      <c r="L16" s="101">
        <f t="shared" si="5"/>
        <v>3860560000</v>
      </c>
      <c r="M16" s="101">
        <f t="shared" si="1"/>
        <v>9638980470.3952999</v>
      </c>
      <c r="N16" s="100">
        <f t="shared" si="0"/>
        <v>5896731.8382970504</v>
      </c>
      <c r="P16" s="100">
        <f t="shared" si="6"/>
        <v>114800000</v>
      </c>
      <c r="Q16" s="101">
        <f t="shared" si="7"/>
        <v>3745760000</v>
      </c>
      <c r="R16" s="101">
        <f t="shared" si="8"/>
        <v>9524180470.3952999</v>
      </c>
    </row>
    <row r="17" spans="1:18">
      <c r="A17" s="97">
        <f>'04a_PROPUESTA_MO'!R19</f>
        <v>3</v>
      </c>
      <c r="B17" s="108" t="s">
        <v>264</v>
      </c>
      <c r="C17" s="98">
        <f>'04a_PROPUESTA_MO'!S19</f>
        <v>21</v>
      </c>
      <c r="D17" s="99">
        <f>'04a_PROPUESTA_MO'!P19</f>
        <v>14682.0193</v>
      </c>
      <c r="E17" s="109">
        <f>'00_Datos_General'!C$23</f>
        <v>3535000</v>
      </c>
      <c r="F17" s="100">
        <f t="shared" si="2"/>
        <v>51900938225.5</v>
      </c>
      <c r="G17" s="99">
        <f>'04a_PROPUESTA_MO'!I19</f>
        <v>43867.5</v>
      </c>
      <c r="H17" s="97" t="s">
        <v>25</v>
      </c>
      <c r="I17" s="100">
        <f>VLOOKUP(H17,'00_DATOS_1'!$B$26:$D$34,3)</f>
        <v>1900000</v>
      </c>
      <c r="J17" s="100">
        <f t="shared" si="3"/>
        <v>83348250000</v>
      </c>
      <c r="K17" s="101">
        <f t="shared" si="4"/>
        <v>5834377500.000001</v>
      </c>
      <c r="L17" s="101">
        <f t="shared" si="5"/>
        <v>89182627500</v>
      </c>
      <c r="M17" s="101">
        <f t="shared" si="1"/>
        <v>141083565725.5</v>
      </c>
      <c r="N17" s="100">
        <f t="shared" si="0"/>
        <v>9609275.3212427665</v>
      </c>
      <c r="P17" s="100">
        <f t="shared" si="6"/>
        <v>3070725000</v>
      </c>
      <c r="Q17" s="101">
        <f t="shared" si="7"/>
        <v>86111902500</v>
      </c>
      <c r="R17" s="101">
        <f t="shared" si="8"/>
        <v>138012840725.5</v>
      </c>
    </row>
    <row r="18" spans="1:18">
      <c r="A18" s="97">
        <f>'04a_PROPUESTA_MO'!R20</f>
        <v>3</v>
      </c>
      <c r="B18" s="108" t="s">
        <v>273</v>
      </c>
      <c r="C18" s="98">
        <f>'04a_PROPUESTA_MO'!S20</f>
        <v>12</v>
      </c>
      <c r="D18" s="99">
        <f>'04a_PROPUESTA_MO'!P20</f>
        <v>820.37306783199995</v>
      </c>
      <c r="E18" s="109">
        <f>'00_Datos_General'!C$23</f>
        <v>3535000</v>
      </c>
      <c r="F18" s="100">
        <f t="shared" si="2"/>
        <v>2900018794.7861199</v>
      </c>
      <c r="G18" s="99">
        <f>'04a_PROPUESTA_MO'!I20</f>
        <v>910.4</v>
      </c>
      <c r="H18" s="97" t="s">
        <v>22</v>
      </c>
      <c r="I18" s="100">
        <f>VLOOKUP(H18,'00_DATOS_1'!$B$26:$D$34,3)</f>
        <v>2200000</v>
      </c>
      <c r="J18" s="100">
        <f t="shared" si="3"/>
        <v>2002880000</v>
      </c>
      <c r="K18" s="101">
        <f t="shared" si="4"/>
        <v>140201600</v>
      </c>
      <c r="L18" s="101">
        <f t="shared" si="5"/>
        <v>2143081600</v>
      </c>
      <c r="M18" s="101">
        <f t="shared" si="1"/>
        <v>5043100394.7861195</v>
      </c>
      <c r="N18" s="100">
        <f t="shared" si="0"/>
        <v>6147325.640654589</v>
      </c>
      <c r="P18" s="100">
        <f t="shared" si="6"/>
        <v>63728000</v>
      </c>
      <c r="Q18" s="101">
        <f t="shared" si="7"/>
        <v>2079353600</v>
      </c>
      <c r="R18" s="101">
        <f t="shared" si="8"/>
        <v>4979372394.7861195</v>
      </c>
    </row>
    <row r="19" spans="1:18">
      <c r="A19" s="97">
        <f>'04a_PROPUESTA_MO'!R21</f>
        <v>3</v>
      </c>
      <c r="B19" s="108" t="s">
        <v>274</v>
      </c>
      <c r="C19" s="98">
        <f>'04a_PROPUESTA_MO'!S21</f>
        <v>11</v>
      </c>
      <c r="D19" s="99">
        <f>'04a_PROPUESTA_MO'!P21</f>
        <v>667.90779999999995</v>
      </c>
      <c r="E19" s="109">
        <f>'00_Datos_General'!C$23</f>
        <v>3535000</v>
      </c>
      <c r="F19" s="100">
        <f t="shared" si="2"/>
        <v>2361054073</v>
      </c>
      <c r="G19" s="99">
        <f>'04a_PROPUESTA_MO'!I21</f>
        <v>826</v>
      </c>
      <c r="H19" s="97" t="s">
        <v>22</v>
      </c>
      <c r="I19" s="100">
        <f>VLOOKUP(H19,'00_DATOS_1'!$B$26:$D$34,3)</f>
        <v>2200000</v>
      </c>
      <c r="J19" s="100">
        <f t="shared" si="3"/>
        <v>1817200000</v>
      </c>
      <c r="K19" s="101">
        <f t="shared" si="4"/>
        <v>127204000.00000001</v>
      </c>
      <c r="L19" s="101">
        <f t="shared" si="5"/>
        <v>1944404000</v>
      </c>
      <c r="M19" s="101">
        <f t="shared" si="1"/>
        <v>4305458073</v>
      </c>
      <c r="N19" s="100">
        <f t="shared" si="0"/>
        <v>6446186.2445684876</v>
      </c>
      <c r="P19" s="100">
        <f t="shared" si="6"/>
        <v>57820000</v>
      </c>
      <c r="Q19" s="101">
        <f t="shared" si="7"/>
        <v>1886584000</v>
      </c>
      <c r="R19" s="101">
        <f t="shared" si="8"/>
        <v>4247638073</v>
      </c>
    </row>
    <row r="20" spans="1:18">
      <c r="A20" s="97">
        <f>'04a_PROPUESTA_MO'!R22</f>
        <v>4</v>
      </c>
      <c r="B20" s="108" t="s">
        <v>275</v>
      </c>
      <c r="C20" s="98">
        <f>'04a_PROPUESTA_MO'!S22</f>
        <v>6</v>
      </c>
      <c r="D20" s="99">
        <f>'04a_PROPUESTA_MO'!P22</f>
        <v>819.95528273399998</v>
      </c>
      <c r="E20" s="109">
        <f>'00_Datos_General'!C$23</f>
        <v>3535000</v>
      </c>
      <c r="F20" s="100">
        <f t="shared" si="2"/>
        <v>2898541924.4646897</v>
      </c>
      <c r="G20" s="99">
        <f>'04a_PROPUESTA_MO'!I22</f>
        <v>820</v>
      </c>
      <c r="H20" s="97" t="s">
        <v>25</v>
      </c>
      <c r="I20" s="100">
        <f>VLOOKUP(H20,'00_DATOS_1'!$B$26:$D$34,3)</f>
        <v>1900000</v>
      </c>
      <c r="J20" s="100">
        <f t="shared" si="3"/>
        <v>1558000000</v>
      </c>
      <c r="K20" s="101">
        <f t="shared" si="4"/>
        <v>109060000.00000001</v>
      </c>
      <c r="L20" s="101">
        <f t="shared" si="5"/>
        <v>1667060000</v>
      </c>
      <c r="M20" s="101">
        <f t="shared" si="1"/>
        <v>4565601924.4646893</v>
      </c>
      <c r="N20" s="100">
        <f t="shared" si="0"/>
        <v>5568110.8721459471</v>
      </c>
      <c r="P20" s="100">
        <f t="shared" si="6"/>
        <v>57400000</v>
      </c>
      <c r="Q20" s="101">
        <f t="shared" si="7"/>
        <v>1609660000</v>
      </c>
      <c r="R20" s="101">
        <f t="shared" si="8"/>
        <v>4508201924.4646893</v>
      </c>
    </row>
    <row r="21" spans="1:18">
      <c r="A21" s="97">
        <f>'04a_PROPUESTA_MO'!R23</f>
        <v>4</v>
      </c>
      <c r="B21" s="108" t="s">
        <v>264</v>
      </c>
      <c r="C21" s="98">
        <f>'04a_PROPUESTA_MO'!S23</f>
        <v>21</v>
      </c>
      <c r="D21" s="99">
        <f>'04a_PROPUESTA_MO'!P23</f>
        <v>12043.504999999999</v>
      </c>
      <c r="E21" s="109">
        <f>'00_Datos_General'!C$23</f>
        <v>3535000</v>
      </c>
      <c r="F21" s="100">
        <f t="shared" si="2"/>
        <v>42573790175</v>
      </c>
      <c r="G21" s="99">
        <f>'04a_PROPUESTA_MO'!I23</f>
        <v>43867.5</v>
      </c>
      <c r="H21" s="97" t="s">
        <v>25</v>
      </c>
      <c r="I21" s="100">
        <f>VLOOKUP(H21,'00_DATOS_1'!$B$26:$D$34,3)</f>
        <v>1900000</v>
      </c>
      <c r="J21" s="100">
        <f t="shared" si="3"/>
        <v>83348250000</v>
      </c>
      <c r="K21" s="101">
        <f t="shared" si="4"/>
        <v>5834377500.000001</v>
      </c>
      <c r="L21" s="101">
        <f t="shared" si="5"/>
        <v>89182627500</v>
      </c>
      <c r="M21" s="101">
        <f t="shared" si="1"/>
        <v>131756417675</v>
      </c>
      <c r="N21" s="100">
        <f t="shared" si="0"/>
        <v>10940039.272205226</v>
      </c>
      <c r="P21" s="100">
        <f t="shared" si="6"/>
        <v>3070725000</v>
      </c>
      <c r="Q21" s="101">
        <f t="shared" si="7"/>
        <v>86111902500</v>
      </c>
      <c r="R21" s="101">
        <f t="shared" si="8"/>
        <v>128685692675</v>
      </c>
    </row>
    <row r="22" spans="1:18">
      <c r="A22" s="97">
        <f>'04a_PROPUESTA_MO'!R24</f>
        <v>4</v>
      </c>
      <c r="B22" s="108" t="s">
        <v>276</v>
      </c>
      <c r="C22" s="98">
        <f>'04a_PROPUESTA_MO'!S24</f>
        <v>10</v>
      </c>
      <c r="D22" s="99">
        <f>'04a_PROPUESTA_MO'!P24</f>
        <v>821.12635442700002</v>
      </c>
      <c r="E22" s="109">
        <f>'00_Datos_General'!C$23</f>
        <v>3535000</v>
      </c>
      <c r="F22" s="100">
        <f t="shared" si="2"/>
        <v>2902681662.8994451</v>
      </c>
      <c r="G22" s="99">
        <f>'04a_PROPUESTA_MO'!I24</f>
        <v>925.5</v>
      </c>
      <c r="H22" s="97" t="s">
        <v>22</v>
      </c>
      <c r="I22" s="100">
        <f>VLOOKUP(H22,'00_DATOS_1'!$B$26:$D$34,3)</f>
        <v>2200000</v>
      </c>
      <c r="J22" s="100">
        <f t="shared" si="3"/>
        <v>2036100000</v>
      </c>
      <c r="K22" s="101">
        <f t="shared" si="4"/>
        <v>142527000</v>
      </c>
      <c r="L22" s="101">
        <f t="shared" si="5"/>
        <v>2178627000</v>
      </c>
      <c r="M22" s="101">
        <f t="shared" si="1"/>
        <v>5081308662.8994446</v>
      </c>
      <c r="N22" s="100">
        <f t="shared" si="0"/>
        <v>6188217.7273987187</v>
      </c>
      <c r="P22" s="100">
        <f t="shared" si="6"/>
        <v>64785000</v>
      </c>
      <c r="Q22" s="101">
        <f t="shared" si="7"/>
        <v>2113842000</v>
      </c>
      <c r="R22" s="101">
        <f t="shared" si="8"/>
        <v>5016523662.8994446</v>
      </c>
    </row>
    <row r="23" spans="1:18">
      <c r="A23" s="97">
        <f>'04a_PROPUESTA_MO'!R25</f>
        <v>4</v>
      </c>
      <c r="B23" s="108" t="s">
        <v>277</v>
      </c>
      <c r="C23" s="98">
        <f>'04a_PROPUESTA_MO'!S25</f>
        <v>5</v>
      </c>
      <c r="D23" s="99">
        <f>'04a_PROPUESTA_MO'!P25</f>
        <v>1206.97006059</v>
      </c>
      <c r="E23" s="109">
        <f>'00_Datos_General'!C$23</f>
        <v>3535000</v>
      </c>
      <c r="F23" s="100">
        <f t="shared" si="2"/>
        <v>4266639164.1856499</v>
      </c>
      <c r="G23" s="99">
        <f>'04a_PROPUESTA_MO'!I25</f>
        <v>1254.9000000000001</v>
      </c>
      <c r="H23" s="97" t="s">
        <v>22</v>
      </c>
      <c r="I23" s="100">
        <f>VLOOKUP(H23,'00_DATOS_1'!$B$26:$D$34,3)</f>
        <v>2200000</v>
      </c>
      <c r="J23" s="100">
        <f t="shared" si="3"/>
        <v>2760780000</v>
      </c>
      <c r="K23" s="101">
        <f t="shared" si="4"/>
        <v>193254600.00000003</v>
      </c>
      <c r="L23" s="101">
        <f t="shared" si="5"/>
        <v>2954034600</v>
      </c>
      <c r="M23" s="101">
        <f t="shared" si="1"/>
        <v>7220673764.1856499</v>
      </c>
      <c r="N23" s="100">
        <f t="shared" si="0"/>
        <v>5982479.5990846595</v>
      </c>
      <c r="P23" s="100">
        <f t="shared" si="6"/>
        <v>87843000</v>
      </c>
      <c r="Q23" s="101">
        <f t="shared" si="7"/>
        <v>2866191600</v>
      </c>
      <c r="R23" s="101">
        <f t="shared" si="8"/>
        <v>7132830764.1856499</v>
      </c>
    </row>
    <row r="24" spans="1:18">
      <c r="A24" s="97">
        <f>'04a_PROPUESTA_MO'!R26</f>
        <v>4</v>
      </c>
      <c r="B24" s="108" t="s">
        <v>278</v>
      </c>
      <c r="C24" s="98">
        <f>'04a_PROPUESTA_MO'!S26</f>
        <v>9</v>
      </c>
      <c r="D24" s="99">
        <f>'04a_PROPUESTA_MO'!P26</f>
        <v>819.92433800200001</v>
      </c>
      <c r="E24" s="109">
        <f>'00_Datos_General'!C$23</f>
        <v>3535000</v>
      </c>
      <c r="F24" s="100">
        <f t="shared" si="2"/>
        <v>2898432534.83707</v>
      </c>
      <c r="G24" s="99">
        <f>'04a_PROPUESTA_MO'!I26</f>
        <v>924.9</v>
      </c>
      <c r="H24" s="97" t="s">
        <v>25</v>
      </c>
      <c r="I24" s="100">
        <f>VLOOKUP(H24,'00_DATOS_1'!$B$26:$D$34,3)</f>
        <v>1900000</v>
      </c>
      <c r="J24" s="100">
        <f t="shared" si="3"/>
        <v>1757310000</v>
      </c>
      <c r="K24" s="101">
        <f t="shared" si="4"/>
        <v>123011700.00000001</v>
      </c>
      <c r="L24" s="101">
        <f t="shared" si="5"/>
        <v>1880321700</v>
      </c>
      <c r="M24" s="101">
        <f t="shared" si="1"/>
        <v>4778754234.8370705</v>
      </c>
      <c r="N24" s="100">
        <f t="shared" si="0"/>
        <v>5828286.847152248</v>
      </c>
      <c r="P24" s="100">
        <f t="shared" si="6"/>
        <v>64743000</v>
      </c>
      <c r="Q24" s="101">
        <f t="shared" si="7"/>
        <v>1815578700</v>
      </c>
      <c r="R24" s="101">
        <f t="shared" si="8"/>
        <v>4714011234.8370705</v>
      </c>
    </row>
    <row r="25" spans="1:18">
      <c r="A25" s="97">
        <f>'04a_PROPUESTA_MO'!R27</f>
        <v>4</v>
      </c>
      <c r="B25" s="108" t="s">
        <v>279</v>
      </c>
      <c r="C25" s="98">
        <f>'04a_PROPUESTA_MO'!S27</f>
        <v>7</v>
      </c>
      <c r="D25" s="99">
        <f>'04a_PROPUESTA_MO'!P27</f>
        <v>820.64756360399997</v>
      </c>
      <c r="E25" s="109">
        <f>'00_Datos_General'!C$23</f>
        <v>3535000</v>
      </c>
      <c r="F25" s="100">
        <f t="shared" si="2"/>
        <v>2900989137.3401399</v>
      </c>
      <c r="G25" s="99">
        <f>'04a_PROPUESTA_MO'!I27</f>
        <v>1142</v>
      </c>
      <c r="H25" s="97" t="s">
        <v>22</v>
      </c>
      <c r="I25" s="100">
        <f>VLOOKUP(H25,'00_DATOS_1'!$B$26:$D$34,3)</f>
        <v>2200000</v>
      </c>
      <c r="J25" s="100">
        <f t="shared" si="3"/>
        <v>2512400000</v>
      </c>
      <c r="K25" s="101">
        <f t="shared" si="4"/>
        <v>175868000.00000003</v>
      </c>
      <c r="L25" s="101">
        <f t="shared" si="5"/>
        <v>2688268000</v>
      </c>
      <c r="M25" s="101">
        <f t="shared" si="1"/>
        <v>5589257137.3401394</v>
      </c>
      <c r="N25" s="100">
        <f t="shared" si="0"/>
        <v>6810788.6810679818</v>
      </c>
      <c r="P25" s="100">
        <f t="shared" si="6"/>
        <v>79940000</v>
      </c>
      <c r="Q25" s="101">
        <f t="shared" si="7"/>
        <v>2608328000</v>
      </c>
      <c r="R25" s="101">
        <f t="shared" si="8"/>
        <v>5509317137.3401394</v>
      </c>
    </row>
    <row r="26" spans="1:18">
      <c r="A26" s="97">
        <f>'04a_PROPUESTA_MO'!R28</f>
        <v>4</v>
      </c>
      <c r="B26" s="108" t="s">
        <v>274</v>
      </c>
      <c r="C26" s="98">
        <f>'04a_PROPUESTA_MO'!S28</f>
        <v>11</v>
      </c>
      <c r="D26" s="99">
        <f>'04a_PROPUESTA_MO'!P28</f>
        <v>152.39250000000001</v>
      </c>
      <c r="E26" s="109">
        <f>'00_Datos_General'!C$23</f>
        <v>3535000</v>
      </c>
      <c r="F26" s="100">
        <f t="shared" si="2"/>
        <v>538707487.5</v>
      </c>
      <c r="G26" s="99">
        <f>'04a_PROPUESTA_MO'!I28</f>
        <v>826</v>
      </c>
      <c r="H26" s="97" t="s">
        <v>22</v>
      </c>
      <c r="I26" s="100">
        <f>VLOOKUP(H26,'00_DATOS_1'!$B$26:$D$34,3)</f>
        <v>2200000</v>
      </c>
      <c r="J26" s="100">
        <f t="shared" si="3"/>
        <v>1817200000</v>
      </c>
      <c r="K26" s="101">
        <f t="shared" si="4"/>
        <v>127204000.00000001</v>
      </c>
      <c r="L26" s="101">
        <f t="shared" si="5"/>
        <v>1944404000</v>
      </c>
      <c r="M26" s="101">
        <f t="shared" si="1"/>
        <v>2483111487.5</v>
      </c>
      <c r="N26" s="100">
        <f t="shared" si="0"/>
        <v>16294184.343061501</v>
      </c>
      <c r="P26" s="100">
        <f t="shared" si="6"/>
        <v>57820000</v>
      </c>
      <c r="Q26" s="101">
        <f t="shared" si="7"/>
        <v>1886584000</v>
      </c>
      <c r="R26" s="101">
        <f t="shared" si="8"/>
        <v>2425291487.5</v>
      </c>
    </row>
    <row r="27" spans="1:18">
      <c r="A27" s="97">
        <f>'04a_PROPUESTA_MO'!R29</f>
        <v>4</v>
      </c>
      <c r="B27" s="108" t="s">
        <v>280</v>
      </c>
      <c r="C27" s="98">
        <f>'04a_PROPUESTA_MO'!S29</f>
        <v>4</v>
      </c>
      <c r="D27" s="99">
        <f>'04a_PROPUESTA_MO'!P29</f>
        <v>8115.2677000000003</v>
      </c>
      <c r="E27" s="109">
        <f>'00_Datos_General'!C$23</f>
        <v>3535000</v>
      </c>
      <c r="F27" s="100">
        <f t="shared" si="2"/>
        <v>28687471319.5</v>
      </c>
      <c r="G27" s="99">
        <f>'04a_PROPUESTA_MO'!I29</f>
        <v>5295.8</v>
      </c>
      <c r="H27" s="97" t="s">
        <v>25</v>
      </c>
      <c r="I27" s="100">
        <f>VLOOKUP(H27,'00_DATOS_1'!$B$26:$D$34,3)</f>
        <v>1900000</v>
      </c>
      <c r="J27" s="100">
        <f t="shared" si="3"/>
        <v>10062020000</v>
      </c>
      <c r="K27" s="101">
        <f t="shared" si="4"/>
        <v>704341400.00000012</v>
      </c>
      <c r="L27" s="101">
        <f t="shared" si="5"/>
        <v>10766361400</v>
      </c>
      <c r="M27" s="101">
        <f t="shared" si="1"/>
        <v>39453832719.5</v>
      </c>
      <c r="N27" s="100">
        <f t="shared" si="0"/>
        <v>4861679.7594366474</v>
      </c>
      <c r="P27" s="100">
        <f t="shared" si="6"/>
        <v>370706000</v>
      </c>
      <c r="Q27" s="101">
        <f t="shared" si="7"/>
        <v>10395655400</v>
      </c>
      <c r="R27" s="101">
        <f t="shared" si="8"/>
        <v>39083126719.5</v>
      </c>
    </row>
    <row r="28" spans="1:18">
      <c r="A28" s="97">
        <f>'04a_PROPUESTA_MO'!R30</f>
        <v>4</v>
      </c>
      <c r="B28" s="108" t="s">
        <v>281</v>
      </c>
      <c r="C28" s="98">
        <f>'04a_PROPUESTA_MO'!S30</f>
        <v>8</v>
      </c>
      <c r="D28" s="99">
        <f>'04a_PROPUESTA_MO'!P30</f>
        <v>821.42511348200003</v>
      </c>
      <c r="E28" s="109">
        <f>'00_Datos_General'!C$23</f>
        <v>3535000</v>
      </c>
      <c r="F28" s="100">
        <f t="shared" si="2"/>
        <v>2903737776.1588702</v>
      </c>
      <c r="G28" s="99">
        <f>'04a_PROPUESTA_MO'!I30</f>
        <v>926.3</v>
      </c>
      <c r="H28" s="97" t="s">
        <v>25</v>
      </c>
      <c r="I28" s="100">
        <f>VLOOKUP(H28,'00_DATOS_1'!$B$26:$D$34,3)</f>
        <v>1900000</v>
      </c>
      <c r="J28" s="100">
        <f t="shared" si="3"/>
        <v>1759970000</v>
      </c>
      <c r="K28" s="101">
        <f t="shared" si="4"/>
        <v>123197900.00000001</v>
      </c>
      <c r="L28" s="101">
        <f t="shared" si="5"/>
        <v>1883167900</v>
      </c>
      <c r="M28" s="101">
        <f t="shared" si="1"/>
        <v>4786905676.1588707</v>
      </c>
      <c r="N28" s="100">
        <f t="shared" si="0"/>
        <v>5827561.8770252839</v>
      </c>
      <c r="P28" s="100">
        <f t="shared" si="6"/>
        <v>64841000</v>
      </c>
      <c r="Q28" s="101">
        <f t="shared" si="7"/>
        <v>1818326900</v>
      </c>
      <c r="R28" s="101">
        <f t="shared" si="8"/>
        <v>4722064676.1588707</v>
      </c>
    </row>
    <row r="29" spans="1:18">
      <c r="A29" s="97">
        <f>'04a_PROPUESTA_MO'!R31</f>
        <v>5</v>
      </c>
      <c r="B29" s="108" t="s">
        <v>282</v>
      </c>
      <c r="C29" s="98">
        <f>'04a_PROPUESTA_MO'!S31</f>
        <v>30</v>
      </c>
      <c r="D29" s="99">
        <f>'04a_PROPUESTA_MO'!P31</f>
        <v>3942.0852054000002</v>
      </c>
      <c r="E29" s="109">
        <f>'00_Datos_General'!C$23</f>
        <v>3535000</v>
      </c>
      <c r="F29" s="100">
        <f t="shared" si="2"/>
        <v>13935271201.089001</v>
      </c>
      <c r="G29" s="99">
        <f>'04a_PROPUESTA_MO'!I31</f>
        <v>3609.13</v>
      </c>
      <c r="H29" s="97" t="s">
        <v>22</v>
      </c>
      <c r="I29" s="100">
        <f>VLOOKUP(H29,'00_DATOS_1'!$B$26:$D$34,3)</f>
        <v>2200000</v>
      </c>
      <c r="J29" s="100">
        <f t="shared" si="3"/>
        <v>7940086000</v>
      </c>
      <c r="K29" s="101">
        <f t="shared" si="4"/>
        <v>555806020</v>
      </c>
      <c r="L29" s="101">
        <f t="shared" si="5"/>
        <v>8495892020</v>
      </c>
      <c r="M29" s="101">
        <f t="shared" si="1"/>
        <v>22431163221.089001</v>
      </c>
      <c r="N29" s="100">
        <f t="shared" si="0"/>
        <v>5690177.1657198183</v>
      </c>
      <c r="P29" s="100">
        <f t="shared" si="6"/>
        <v>252639100</v>
      </c>
      <c r="Q29" s="101">
        <f t="shared" si="7"/>
        <v>8243252920</v>
      </c>
      <c r="R29" s="101">
        <f t="shared" si="8"/>
        <v>22178524121.089001</v>
      </c>
    </row>
    <row r="30" spans="1:18">
      <c r="A30" s="97">
        <f>'04a_PROPUESTA_MO'!R32</f>
        <v>5</v>
      </c>
      <c r="B30" s="108" t="s">
        <v>283</v>
      </c>
      <c r="C30" s="98">
        <f>'04a_PROPUESTA_MO'!S32</f>
        <v>3</v>
      </c>
      <c r="D30" s="99">
        <f>'04a_PROPUESTA_MO'!P32</f>
        <v>4690.4131096499996</v>
      </c>
      <c r="E30" s="109">
        <f>'00_Datos_General'!C$23</f>
        <v>3535000</v>
      </c>
      <c r="F30" s="100">
        <f t="shared" si="2"/>
        <v>16580610342.612749</v>
      </c>
      <c r="G30" s="99">
        <f>'04a_PROPUESTA_MO'!I32</f>
        <v>1412.7</v>
      </c>
      <c r="H30" s="97" t="s">
        <v>25</v>
      </c>
      <c r="I30" s="100">
        <f>VLOOKUP(H30,'00_DATOS_1'!$B$26:$D$34,3)</f>
        <v>1900000</v>
      </c>
      <c r="J30" s="100">
        <f t="shared" si="3"/>
        <v>2684130000</v>
      </c>
      <c r="K30" s="101">
        <f t="shared" si="4"/>
        <v>187889100.00000003</v>
      </c>
      <c r="L30" s="101">
        <f t="shared" si="5"/>
        <v>2872019100</v>
      </c>
      <c r="M30" s="101">
        <f t="shared" si="1"/>
        <v>19452629442.612747</v>
      </c>
      <c r="N30" s="100">
        <f t="shared" si="0"/>
        <v>4147316.8754775864</v>
      </c>
      <c r="P30" s="100">
        <f t="shared" si="6"/>
        <v>98889000</v>
      </c>
      <c r="Q30" s="101">
        <f t="shared" si="7"/>
        <v>2773130100</v>
      </c>
      <c r="R30" s="101">
        <f t="shared" si="8"/>
        <v>19353740442.612747</v>
      </c>
    </row>
    <row r="31" spans="1:18">
      <c r="A31" s="97">
        <f>'04a_PROPUESTA_MO'!R33</f>
        <v>5</v>
      </c>
      <c r="B31" s="108" t="s">
        <v>284</v>
      </c>
      <c r="C31" s="98">
        <f>'04a_PROPUESTA_MO'!S33</f>
        <v>29</v>
      </c>
      <c r="D31" s="99">
        <f>'04a_PROPUESTA_MO'!P33</f>
        <v>6020.3174501399999</v>
      </c>
      <c r="E31" s="109">
        <f>'00_Datos_General'!C$23</f>
        <v>3535000</v>
      </c>
      <c r="F31" s="100">
        <f t="shared" si="2"/>
        <v>21281822186.2449</v>
      </c>
      <c r="G31" s="99">
        <f>'04a_PROPUESTA_MO'!I33</f>
        <v>8004</v>
      </c>
      <c r="H31" s="97" t="s">
        <v>22</v>
      </c>
      <c r="I31" s="100">
        <f>VLOOKUP(H31,'00_DATOS_1'!$B$26:$D$34,3)</f>
        <v>2200000</v>
      </c>
      <c r="J31" s="100">
        <f t="shared" si="3"/>
        <v>17608800000</v>
      </c>
      <c r="K31" s="101">
        <f t="shared" si="4"/>
        <v>1232616000</v>
      </c>
      <c r="L31" s="101">
        <f t="shared" si="5"/>
        <v>18841416000</v>
      </c>
      <c r="M31" s="101">
        <f t="shared" si="1"/>
        <v>40123238186.244904</v>
      </c>
      <c r="N31" s="100">
        <f t="shared" si="0"/>
        <v>6664638.2883533584</v>
      </c>
      <c r="P31" s="100">
        <f t="shared" si="6"/>
        <v>560280000</v>
      </c>
      <c r="Q31" s="101">
        <f t="shared" si="7"/>
        <v>18281136000</v>
      </c>
      <c r="R31" s="101">
        <f t="shared" si="8"/>
        <v>39562958186.244904</v>
      </c>
    </row>
    <row r="32" spans="1:18">
      <c r="A32" s="97">
        <f>'04a_PROPUESTA_MO'!R34</f>
        <v>5</v>
      </c>
      <c r="B32" s="108" t="s">
        <v>280</v>
      </c>
      <c r="C32" s="98">
        <f>'04a_PROPUESTA_MO'!S34</f>
        <v>4</v>
      </c>
      <c r="D32" s="99">
        <f>'04a_PROPUESTA_MO'!P34</f>
        <v>12385.2089</v>
      </c>
      <c r="E32" s="109">
        <f>'00_Datos_General'!C$23</f>
        <v>3535000</v>
      </c>
      <c r="F32" s="100">
        <f t="shared" si="2"/>
        <v>43781713461.5</v>
      </c>
      <c r="G32" s="99">
        <f>'04a_PROPUESTA_MO'!I34</f>
        <v>5295.8</v>
      </c>
      <c r="H32" s="97" t="s">
        <v>25</v>
      </c>
      <c r="I32" s="100">
        <f>VLOOKUP(H32,'00_DATOS_1'!$B$26:$D$34,3)</f>
        <v>1900000</v>
      </c>
      <c r="J32" s="100">
        <f t="shared" si="3"/>
        <v>10062020000</v>
      </c>
      <c r="K32" s="101">
        <f t="shared" si="4"/>
        <v>704341400.00000012</v>
      </c>
      <c r="L32" s="101">
        <f t="shared" si="5"/>
        <v>10766361400</v>
      </c>
      <c r="M32" s="101">
        <f t="shared" si="1"/>
        <v>54548074861.5</v>
      </c>
      <c r="N32" s="100">
        <f t="shared" si="0"/>
        <v>4404291.8695945451</v>
      </c>
      <c r="P32" s="100">
        <f t="shared" si="6"/>
        <v>370706000</v>
      </c>
      <c r="Q32" s="101">
        <f t="shared" si="7"/>
        <v>10395655400</v>
      </c>
      <c r="R32" s="101">
        <f t="shared" si="8"/>
        <v>54177368861.5</v>
      </c>
    </row>
    <row r="33" spans="1:18">
      <c r="A33" s="97">
        <f>'04a_PROPUESTA_MO'!R35</f>
        <v>6</v>
      </c>
      <c r="B33" s="108" t="s">
        <v>285</v>
      </c>
      <c r="C33" s="98">
        <f>'04a_PROPUESTA_MO'!S35</f>
        <v>28</v>
      </c>
      <c r="D33" s="99">
        <f>'04a_PROPUESTA_MO'!P35</f>
        <v>1559.45903918</v>
      </c>
      <c r="E33" s="109">
        <f>'00_Datos_General'!C$23</f>
        <v>3535000</v>
      </c>
      <c r="F33" s="100">
        <f t="shared" si="2"/>
        <v>5512687703.5012999</v>
      </c>
      <c r="G33" s="99">
        <f>'04a_PROPUESTA_MO'!I35</f>
        <v>0</v>
      </c>
      <c r="H33" s="97" t="s">
        <v>30</v>
      </c>
      <c r="I33" s="100">
        <f>VLOOKUP(H33,'00_DATOS_1'!$B$26:$D$34,3)</f>
        <v>0</v>
      </c>
      <c r="J33" s="100">
        <f t="shared" si="3"/>
        <v>0</v>
      </c>
      <c r="K33" s="101">
        <f t="shared" si="4"/>
        <v>0</v>
      </c>
      <c r="L33" s="101">
        <f t="shared" si="5"/>
        <v>0</v>
      </c>
      <c r="M33" s="101">
        <f t="shared" si="1"/>
        <v>5512687703.5012999</v>
      </c>
      <c r="N33" s="100">
        <f t="shared" si="0"/>
        <v>3535000</v>
      </c>
      <c r="P33" s="100">
        <f t="shared" si="6"/>
        <v>0</v>
      </c>
      <c r="Q33" s="101">
        <f t="shared" si="7"/>
        <v>0</v>
      </c>
      <c r="R33" s="101">
        <f t="shared" si="8"/>
        <v>5512687703.5012999</v>
      </c>
    </row>
    <row r="34" spans="1:18">
      <c r="A34" s="97">
        <f>'04a_PROPUESTA_MO'!R36</f>
        <v>6</v>
      </c>
      <c r="B34" s="108" t="s">
        <v>286</v>
      </c>
      <c r="C34" s="98">
        <f>'04a_PROPUESTA_MO'!S36</f>
        <v>22</v>
      </c>
      <c r="D34" s="99">
        <f>'04a_PROPUESTA_MO'!P36</f>
        <v>10958.325500000001</v>
      </c>
      <c r="E34" s="109">
        <f>'00_Datos_General'!C$23</f>
        <v>3535000</v>
      </c>
      <c r="F34" s="100">
        <f t="shared" si="2"/>
        <v>38737680642.5</v>
      </c>
      <c r="G34" s="99">
        <f>'04a_PROPUESTA_MO'!I36</f>
        <v>30513</v>
      </c>
      <c r="H34" s="97" t="s">
        <v>25</v>
      </c>
      <c r="I34" s="100">
        <f>VLOOKUP(H34,'00_DATOS_1'!$B$26:$D$34,3)</f>
        <v>1900000</v>
      </c>
      <c r="J34" s="100">
        <f t="shared" si="3"/>
        <v>57974700000</v>
      </c>
      <c r="K34" s="101">
        <f t="shared" si="4"/>
        <v>4058229000.0000005</v>
      </c>
      <c r="L34" s="101">
        <f t="shared" si="5"/>
        <v>62032929000</v>
      </c>
      <c r="M34" s="101">
        <f t="shared" si="1"/>
        <v>100770609642.5</v>
      </c>
      <c r="N34" s="100">
        <f t="shared" si="0"/>
        <v>9195803.6510687694</v>
      </c>
      <c r="P34" s="100">
        <f t="shared" si="6"/>
        <v>2135910000</v>
      </c>
      <c r="Q34" s="101">
        <f t="shared" si="7"/>
        <v>59897019000</v>
      </c>
      <c r="R34" s="101">
        <f t="shared" si="8"/>
        <v>98634699642.5</v>
      </c>
    </row>
    <row r="35" spans="1:18">
      <c r="A35" s="97">
        <f>'04a_PROPUESTA_MO'!R37</f>
        <v>6</v>
      </c>
      <c r="B35" s="108" t="s">
        <v>287</v>
      </c>
      <c r="C35" s="98">
        <f>'04a_PROPUESTA_MO'!S37</f>
        <v>27</v>
      </c>
      <c r="D35" s="99">
        <f>'04a_PROPUESTA_MO'!P37</f>
        <v>8572.1148873700004</v>
      </c>
      <c r="E35" s="109">
        <f>'00_Datos_General'!C$23</f>
        <v>3535000</v>
      </c>
      <c r="F35" s="100">
        <f t="shared" si="2"/>
        <v>30302426126.852951</v>
      </c>
      <c r="G35" s="99">
        <f>'04a_PROPUESTA_MO'!I37</f>
        <v>5521.3</v>
      </c>
      <c r="H35" s="97" t="s">
        <v>22</v>
      </c>
      <c r="I35" s="100">
        <f>VLOOKUP(H35,'00_DATOS_1'!$B$26:$D$34,3)</f>
        <v>2200000</v>
      </c>
      <c r="J35" s="100">
        <f t="shared" si="3"/>
        <v>12146860000</v>
      </c>
      <c r="K35" s="101">
        <f t="shared" si="4"/>
        <v>850280200.00000012</v>
      </c>
      <c r="L35" s="101">
        <f t="shared" si="5"/>
        <v>12997140200</v>
      </c>
      <c r="M35" s="101">
        <f t="shared" si="1"/>
        <v>43299566326.852951</v>
      </c>
      <c r="N35" s="100">
        <f t="shared" si="0"/>
        <v>5051211.61997604</v>
      </c>
      <c r="P35" s="100">
        <f t="shared" si="6"/>
        <v>386491000</v>
      </c>
      <c r="Q35" s="101">
        <f t="shared" si="7"/>
        <v>12610649200</v>
      </c>
      <c r="R35" s="101">
        <f t="shared" si="8"/>
        <v>42913075326.852951</v>
      </c>
    </row>
    <row r="36" spans="1:18">
      <c r="A36" s="97">
        <f>'04a_PROPUESTA_MO'!R38</f>
        <v>7</v>
      </c>
      <c r="B36" s="108" t="s">
        <v>286</v>
      </c>
      <c r="C36" s="98">
        <f>'04a_PROPUESTA_MO'!S38</f>
        <v>22</v>
      </c>
      <c r="D36" s="99">
        <f>'04a_PROPUESTA_MO'!P38</f>
        <v>23967.619699999999</v>
      </c>
      <c r="E36" s="109">
        <f>'00_Datos_General'!C$23</f>
        <v>3535000</v>
      </c>
      <c r="F36" s="100">
        <f t="shared" si="2"/>
        <v>84725535639.5</v>
      </c>
      <c r="G36" s="99">
        <f>'04a_PROPUESTA_MO'!I38</f>
        <v>30513</v>
      </c>
      <c r="H36" s="97" t="s">
        <v>25</v>
      </c>
      <c r="I36" s="100">
        <f>VLOOKUP(H36,'00_DATOS_1'!$B$26:$D$34,3)</f>
        <v>1900000</v>
      </c>
      <c r="J36" s="100">
        <f t="shared" si="3"/>
        <v>57974700000</v>
      </c>
      <c r="K36" s="101">
        <f t="shared" si="4"/>
        <v>4058229000.0000005</v>
      </c>
      <c r="L36" s="101">
        <f t="shared" si="5"/>
        <v>62032929000</v>
      </c>
      <c r="M36" s="101">
        <f t="shared" si="1"/>
        <v>146758464639.5</v>
      </c>
      <c r="N36" s="100">
        <f t="shared" si="0"/>
        <v>6123197.3168991832</v>
      </c>
      <c r="P36" s="100">
        <f t="shared" si="6"/>
        <v>2135910000</v>
      </c>
      <c r="Q36" s="101">
        <f t="shared" si="7"/>
        <v>59897019000</v>
      </c>
      <c r="R36" s="101">
        <f t="shared" si="8"/>
        <v>144622554639.5</v>
      </c>
    </row>
    <row r="37" spans="1:18">
      <c r="A37" s="97">
        <f>'04a_PROPUESTA_MO'!R39</f>
        <v>8</v>
      </c>
      <c r="B37" s="108" t="s">
        <v>288</v>
      </c>
      <c r="C37" s="98">
        <f>'04a_PROPUESTA_MO'!S39</f>
        <v>31</v>
      </c>
      <c r="D37" s="99">
        <f>'04a_PROPUESTA_MO'!P39</f>
        <v>14752.6990159</v>
      </c>
      <c r="E37" s="109">
        <f>'00_Datos_General'!C$23</f>
        <v>3535000</v>
      </c>
      <c r="F37" s="100">
        <f t="shared" si="2"/>
        <v>52150791021.206497</v>
      </c>
      <c r="G37" s="99">
        <f>'04a_PROPUESTA_MO'!I39</f>
        <v>27734.6</v>
      </c>
      <c r="H37" s="97" t="s">
        <v>23</v>
      </c>
      <c r="I37" s="100">
        <f>VLOOKUP(H37,'00_DATOS_1'!$B$26:$D$34,3)</f>
        <v>2800000</v>
      </c>
      <c r="J37" s="100">
        <f t="shared" si="3"/>
        <v>77656880000</v>
      </c>
      <c r="K37" s="101">
        <f t="shared" si="4"/>
        <v>5435981600.000001</v>
      </c>
      <c r="L37" s="101">
        <f t="shared" si="5"/>
        <v>83092861600</v>
      </c>
      <c r="M37" s="101">
        <f t="shared" si="1"/>
        <v>135243652621.2065</v>
      </c>
      <c r="N37" s="100">
        <f t="shared" si="0"/>
        <v>9167383.7089365888</v>
      </c>
      <c r="P37" s="100">
        <f t="shared" si="6"/>
        <v>1941422000</v>
      </c>
      <c r="Q37" s="101">
        <f t="shared" si="7"/>
        <v>81151439600</v>
      </c>
      <c r="R37" s="101">
        <f t="shared" si="8"/>
        <v>133302230621.2065</v>
      </c>
    </row>
    <row r="38" spans="1:18">
      <c r="B38" s="14"/>
      <c r="H38" s="40"/>
    </row>
    <row r="39" spans="1:18">
      <c r="B39" s="14"/>
      <c r="H39" s="40"/>
    </row>
    <row r="40" spans="1:18">
      <c r="B40" s="14"/>
      <c r="H40" s="40"/>
    </row>
  </sheetData>
  <mergeCells count="9">
    <mergeCell ref="R2:R3"/>
    <mergeCell ref="A2:C2"/>
    <mergeCell ref="D2:F2"/>
    <mergeCell ref="G2:L2"/>
    <mergeCell ref="M2:M3"/>
    <mergeCell ref="N2:N3"/>
    <mergeCell ref="I3:J3"/>
    <mergeCell ref="P2:P3"/>
    <mergeCell ref="Q2:Q3"/>
  </mergeCells>
  <pageMargins left="0.7" right="0.7" top="0.75" bottom="0.75" header="0.3" footer="0.3"/>
  <ignoredErrors>
    <ignoredError sqref="B7:B37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D9E54-3A10-4F33-A977-1F6C288DA609}">
  <dimension ref="A1:AO34"/>
  <sheetViews>
    <sheetView zoomScale="85" zoomScaleNormal="85" workbookViewId="0">
      <selection activeCell="AE1" sqref="AE1:AL2"/>
    </sheetView>
  </sheetViews>
  <sheetFormatPr defaultColWidth="11.375" defaultRowHeight="13.9"/>
  <cols>
    <col min="1" max="1" width="29.125" style="4" customWidth="1"/>
    <col min="2" max="2" width="14.375" style="4" bestFit="1" customWidth="1"/>
    <col min="3" max="3" width="10" style="4" bestFit="1" customWidth="1"/>
    <col min="4" max="4" width="18.625" style="4" bestFit="1" customWidth="1"/>
    <col min="5" max="5" width="14.75" style="4" bestFit="1" customWidth="1"/>
    <col min="6" max="6" width="17.125" style="4" customWidth="1"/>
    <col min="7" max="7" width="32.5" style="4" bestFit="1" customWidth="1"/>
    <col min="8" max="8" width="11.875" style="4" bestFit="1" customWidth="1"/>
    <col min="9" max="9" width="12" style="4" customWidth="1"/>
    <col min="10" max="10" width="11.625" style="5" bestFit="1" customWidth="1"/>
    <col min="11" max="11" width="21.25" style="5" bestFit="1" customWidth="1"/>
    <col min="12" max="12" width="25.25" style="5" bestFit="1" customWidth="1"/>
    <col min="13" max="13" width="25.25" style="5" customWidth="1"/>
    <col min="14" max="14" width="28.125" style="5" bestFit="1" customWidth="1"/>
    <col min="15" max="15" width="25.875" style="4" customWidth="1"/>
    <col min="16" max="16" width="26.875" style="4" customWidth="1"/>
    <col min="17" max="17" width="14.625" style="6" customWidth="1"/>
    <col min="18" max="18" width="12.375" style="4" customWidth="1"/>
    <col min="19" max="19" width="8.875" style="4" customWidth="1"/>
    <col min="20" max="20" width="57.625" style="4" customWidth="1"/>
    <col min="21" max="21" width="15.75" style="4" customWidth="1"/>
    <col min="22" max="22" width="135.125" style="4" customWidth="1"/>
    <col min="23" max="23" width="0.125" style="4" customWidth="1"/>
    <col min="24" max="24" width="20.75" style="20" bestFit="1" customWidth="1"/>
    <col min="25" max="25" width="3.125" style="5" bestFit="1" customWidth="1"/>
    <col min="26" max="26" width="17.75" style="5" customWidth="1"/>
    <col min="27" max="27" width="22" style="5" bestFit="1" customWidth="1"/>
    <col min="28" max="28" width="11.375" style="17"/>
    <col min="29" max="29" width="11.375" style="15"/>
    <col min="30" max="30" width="15" style="15" bestFit="1" customWidth="1"/>
    <col min="31" max="31" width="28.25" style="5" bestFit="1" customWidth="1"/>
    <col min="32" max="32" width="11.375" style="7"/>
    <col min="33" max="33" width="11.375" style="15"/>
    <col min="34" max="34" width="15" style="18" bestFit="1" customWidth="1"/>
    <col min="35" max="36" width="11.375" style="7"/>
    <col min="37" max="37" width="12.125" style="5" bestFit="1" customWidth="1"/>
    <col min="38" max="38" width="13.25" style="5" bestFit="1" customWidth="1"/>
    <col min="39" max="39" width="11.375" style="7"/>
    <col min="40" max="41" width="12.125" style="7" bestFit="1" customWidth="1"/>
    <col min="42" max="16384" width="11.375" style="7"/>
  </cols>
  <sheetData>
    <row r="1" spans="1:41" ht="32.450000000000003">
      <c r="A1" s="1517" t="s">
        <v>289</v>
      </c>
      <c r="B1" s="1517"/>
      <c r="C1" s="1517"/>
      <c r="D1" s="1517"/>
      <c r="E1" s="1517"/>
      <c r="F1" s="1517"/>
      <c r="G1" s="1517"/>
      <c r="H1" s="1517"/>
      <c r="I1" s="1517"/>
      <c r="J1" s="1517"/>
      <c r="K1" s="1515" t="s">
        <v>290</v>
      </c>
      <c r="L1" s="1515"/>
      <c r="M1" s="1515"/>
      <c r="N1" s="1515"/>
      <c r="O1" s="1515"/>
      <c r="P1" s="1515"/>
      <c r="Q1" s="1515"/>
      <c r="R1" s="1515"/>
      <c r="S1" s="1515"/>
      <c r="T1" s="1515"/>
      <c r="U1" s="1515"/>
      <c r="V1" s="1515"/>
      <c r="W1" s="562"/>
      <c r="X1" s="1516" t="s">
        <v>289</v>
      </c>
      <c r="Y1" s="1516"/>
      <c r="Z1" s="1516"/>
      <c r="AA1" s="1516"/>
      <c r="AB1" s="1516"/>
      <c r="AC1" s="1516"/>
      <c r="AD1" s="1516"/>
      <c r="AE1" s="1515" t="s">
        <v>290</v>
      </c>
      <c r="AF1" s="1515"/>
      <c r="AG1" s="1515"/>
      <c r="AH1" s="1515"/>
      <c r="AI1" s="1515"/>
      <c r="AJ1" s="1515"/>
      <c r="AK1" s="1515"/>
      <c r="AL1" s="1515"/>
    </row>
    <row r="2" spans="1:41" s="3" customFormat="1" ht="22.9">
      <c r="A2" s="609" t="s">
        <v>291</v>
      </c>
      <c r="B2" s="609" t="s">
        <v>292</v>
      </c>
      <c r="C2" s="609" t="s">
        <v>293</v>
      </c>
      <c r="D2" s="609" t="s">
        <v>294</v>
      </c>
      <c r="E2" s="609" t="s">
        <v>295</v>
      </c>
      <c r="F2" s="609" t="s">
        <v>296</v>
      </c>
      <c r="G2" s="609" t="s">
        <v>297</v>
      </c>
      <c r="H2" s="609" t="s">
        <v>298</v>
      </c>
      <c r="I2" s="609" t="s">
        <v>299</v>
      </c>
      <c r="J2" s="610" t="s">
        <v>300</v>
      </c>
      <c r="K2" s="556" t="s">
        <v>301</v>
      </c>
      <c r="L2" s="556" t="s">
        <v>302</v>
      </c>
      <c r="M2" s="556" t="s">
        <v>303</v>
      </c>
      <c r="N2" s="556" t="s">
        <v>304</v>
      </c>
      <c r="O2" s="557" t="s">
        <v>305</v>
      </c>
      <c r="P2" s="557" t="s">
        <v>306</v>
      </c>
      <c r="Q2" s="558" t="s">
        <v>307</v>
      </c>
      <c r="R2" s="557" t="s">
        <v>308</v>
      </c>
      <c r="S2" s="557" t="s">
        <v>309</v>
      </c>
      <c r="T2" s="557" t="s">
        <v>310</v>
      </c>
      <c r="U2" s="557" t="s">
        <v>311</v>
      </c>
      <c r="V2" s="557" t="s">
        <v>312</v>
      </c>
      <c r="W2" s="564" t="s">
        <v>313</v>
      </c>
      <c r="X2" s="611" t="s">
        <v>314</v>
      </c>
      <c r="Y2" s="610"/>
      <c r="Z2" s="610" t="s">
        <v>315</v>
      </c>
      <c r="AA2" s="610" t="s">
        <v>316</v>
      </c>
      <c r="AB2" s="612"/>
      <c r="AC2" s="613" t="s">
        <v>317</v>
      </c>
      <c r="AD2" s="613" t="s">
        <v>318</v>
      </c>
      <c r="AE2" s="565" t="s">
        <v>319</v>
      </c>
      <c r="AF2" s="566" t="s">
        <v>320</v>
      </c>
      <c r="AG2" s="567" t="s">
        <v>321</v>
      </c>
      <c r="AH2" s="568" t="s">
        <v>318</v>
      </c>
      <c r="AI2" s="566" t="s">
        <v>310</v>
      </c>
      <c r="AJ2" s="1514" t="s">
        <v>322</v>
      </c>
      <c r="AK2" s="1514"/>
      <c r="AL2" s="556" t="s">
        <v>323</v>
      </c>
    </row>
    <row r="3" spans="1:41" s="11" customFormat="1">
      <c r="A3" s="560"/>
      <c r="B3" s="560"/>
      <c r="C3" s="560"/>
      <c r="D3" s="560"/>
      <c r="E3" s="560"/>
      <c r="F3" s="560"/>
      <c r="G3" s="560"/>
      <c r="H3" s="560"/>
      <c r="I3" s="560"/>
      <c r="J3" s="559"/>
      <c r="K3" s="559"/>
      <c r="L3" s="559"/>
      <c r="M3" s="559">
        <f>SUM(M5:M32)</f>
        <v>167212.57095799997</v>
      </c>
      <c r="N3" s="559">
        <f>SUM(N5:N32)</f>
        <v>173647.73260710997</v>
      </c>
      <c r="O3" s="560"/>
      <c r="P3" s="560"/>
      <c r="Q3" s="561"/>
      <c r="R3" s="560"/>
      <c r="S3" s="560"/>
      <c r="T3" s="560"/>
      <c r="U3" s="560"/>
      <c r="V3" s="560"/>
      <c r="W3" s="559">
        <f>SUM(W5:W32)</f>
        <v>0</v>
      </c>
      <c r="X3" s="569">
        <f>SUM(X5:X32)</f>
        <v>170944.22947055</v>
      </c>
      <c r="Y3" s="559"/>
      <c r="Z3" s="559">
        <f>SUM(Z5:Z32)</f>
        <v>6167.5173605540003</v>
      </c>
      <c r="AA3" s="570">
        <f>SUM(AA5:AA32)</f>
        <v>164776.71210999601</v>
      </c>
      <c r="AB3" s="571"/>
      <c r="AC3" s="572"/>
      <c r="AD3" s="572"/>
      <c r="AE3" s="559">
        <f>SUM(AE5:AE32)</f>
        <v>170940.443611027</v>
      </c>
      <c r="AF3" s="573"/>
      <c r="AG3" s="572"/>
      <c r="AH3" s="574"/>
      <c r="AI3" s="573"/>
      <c r="AJ3" s="573"/>
      <c r="AK3" s="575">
        <f>SUM(AK5:AK32)</f>
        <v>6167.5173605540003</v>
      </c>
      <c r="AL3" s="575">
        <f>SUM(AL5:AL32)</f>
        <v>164772.92625047301</v>
      </c>
      <c r="AM3" s="12"/>
      <c r="AN3" s="13"/>
      <c r="AO3" s="13"/>
    </row>
    <row r="4" spans="1:41" s="11" customFormat="1">
      <c r="A4" s="560"/>
      <c r="B4" s="560"/>
      <c r="C4" s="560"/>
      <c r="D4" s="560"/>
      <c r="E4" s="560"/>
      <c r="F4" s="560"/>
      <c r="G4" s="560"/>
      <c r="H4" s="560"/>
      <c r="I4" s="560"/>
      <c r="J4" s="559"/>
      <c r="K4" s="559"/>
      <c r="L4" s="559"/>
      <c r="M4" s="559"/>
      <c r="N4" s="559"/>
      <c r="O4" s="560"/>
      <c r="P4" s="560"/>
      <c r="Q4" s="561"/>
      <c r="R4" s="560"/>
      <c r="S4" s="560"/>
      <c r="T4" s="560"/>
      <c r="U4" s="560"/>
      <c r="V4" s="560"/>
      <c r="W4" s="560"/>
      <c r="X4" s="569"/>
      <c r="Y4" s="559"/>
      <c r="Z4" s="559"/>
      <c r="AA4" s="559"/>
      <c r="AB4" s="571"/>
      <c r="AC4" s="572"/>
      <c r="AD4" s="572"/>
      <c r="AE4" s="559"/>
      <c r="AF4" s="573"/>
      <c r="AG4" s="572"/>
      <c r="AH4" s="574"/>
      <c r="AI4" s="573"/>
      <c r="AJ4" s="573"/>
      <c r="AK4" s="575"/>
      <c r="AL4" s="575"/>
      <c r="AM4" s="12"/>
      <c r="AN4" s="13"/>
    </row>
    <row r="5" spans="1:41">
      <c r="A5" s="563" t="s">
        <v>275</v>
      </c>
      <c r="B5" s="562" t="s">
        <v>324</v>
      </c>
      <c r="C5" s="562">
        <v>6</v>
      </c>
      <c r="D5" s="562">
        <v>6</v>
      </c>
      <c r="E5" s="562" t="s">
        <v>325</v>
      </c>
      <c r="F5" s="562" t="s">
        <v>326</v>
      </c>
      <c r="G5" s="562">
        <v>1.1001E+29</v>
      </c>
      <c r="H5" s="562" t="s">
        <v>327</v>
      </c>
      <c r="I5" s="562" t="s">
        <v>328</v>
      </c>
      <c r="J5" s="373">
        <v>820</v>
      </c>
      <c r="K5" s="373">
        <v>834</v>
      </c>
      <c r="L5" s="373">
        <v>0</v>
      </c>
      <c r="M5" s="373">
        <f>IF(K5&gt;0,K5,L5*0.6987)</f>
        <v>834</v>
      </c>
      <c r="N5" s="373">
        <f>IF(M5&gt;0,M5,X5)</f>
        <v>834</v>
      </c>
      <c r="O5" s="562">
        <v>6853010000000</v>
      </c>
      <c r="P5" s="562" t="s">
        <v>8</v>
      </c>
      <c r="Q5" s="527">
        <v>66</v>
      </c>
      <c r="R5" s="562" t="s">
        <v>329</v>
      </c>
      <c r="S5" s="562" t="s">
        <v>330</v>
      </c>
      <c r="T5" s="562" t="s">
        <v>331</v>
      </c>
      <c r="U5" s="562" t="s">
        <v>332</v>
      </c>
      <c r="V5" s="562" t="s">
        <v>333</v>
      </c>
      <c r="W5" s="562" t="s">
        <v>334</v>
      </c>
      <c r="X5" s="576">
        <v>819.95528273399998</v>
      </c>
      <c r="Y5" s="373"/>
      <c r="Z5" s="373">
        <f>IF(Y5="x",X5,0)</f>
        <v>0</v>
      </c>
      <c r="AA5" s="373">
        <f>X5-Z5</f>
        <v>819.95528273399998</v>
      </c>
      <c r="AB5" s="577">
        <f>X5-N5</f>
        <v>-14.044717266000021</v>
      </c>
      <c r="AC5" s="374">
        <f>AB5/N5</f>
        <v>-1.6840188568345349E-2</v>
      </c>
      <c r="AD5" s="374">
        <f>ABS(AC5)</f>
        <v>1.6840188568345349E-2</v>
      </c>
      <c r="AE5" s="373">
        <f t="shared" ref="AE5:AE13" si="0">IF(AD5&gt;10%,X5,N5)</f>
        <v>834</v>
      </c>
      <c r="AF5" s="371">
        <f>X5-AE5</f>
        <v>-14.044717266000021</v>
      </c>
      <c r="AG5" s="374">
        <f>AF5/AE5</f>
        <v>-1.6840188568345349E-2</v>
      </c>
      <c r="AH5" s="374" cm="1">
        <f t="array" ref="AH5:AH32">ABS(AG5:AG32)</f>
        <v>1.6840188568345349E-2</v>
      </c>
      <c r="AI5" s="372"/>
      <c r="AJ5" s="372"/>
      <c r="AK5" s="373">
        <f>IF(AJ5="x",AE5,0)</f>
        <v>0</v>
      </c>
      <c r="AL5" s="373">
        <f>IF(AK5=0,AE5,0)</f>
        <v>834</v>
      </c>
    </row>
    <row r="6" spans="1:41">
      <c r="A6" s="563" t="s">
        <v>285</v>
      </c>
      <c r="B6" s="562" t="s">
        <v>324</v>
      </c>
      <c r="C6" s="562">
        <v>28</v>
      </c>
      <c r="D6" s="562">
        <v>28</v>
      </c>
      <c r="E6" s="562" t="s">
        <v>335</v>
      </c>
      <c r="F6" s="562" t="s">
        <v>336</v>
      </c>
      <c r="G6" s="562">
        <v>1.1001E+29</v>
      </c>
      <c r="H6" s="562" t="s">
        <v>327</v>
      </c>
      <c r="I6" s="562" t="s">
        <v>337</v>
      </c>
      <c r="J6" s="373">
        <v>0</v>
      </c>
      <c r="K6" s="373">
        <v>1524.7</v>
      </c>
      <c r="L6" s="373">
        <v>0</v>
      </c>
      <c r="M6" s="373">
        <f t="shared" ref="M6:M32" si="1">IF(K6&gt;0,K6,L6*0.6987)</f>
        <v>1524.7</v>
      </c>
      <c r="N6" s="373">
        <f t="shared" ref="N6:N32" si="2">IF(M6&gt;0,M6,X6)</f>
        <v>1524.7</v>
      </c>
      <c r="O6" s="562">
        <v>6853010000000</v>
      </c>
      <c r="P6" s="562" t="s">
        <v>338</v>
      </c>
      <c r="Q6" s="527">
        <v>-1</v>
      </c>
      <c r="R6" s="562" t="s">
        <v>339</v>
      </c>
      <c r="S6" s="562" t="s">
        <v>330</v>
      </c>
      <c r="T6" s="562" t="s">
        <v>340</v>
      </c>
      <c r="U6" s="562" t="s">
        <v>341</v>
      </c>
      <c r="V6" s="562" t="s">
        <v>342</v>
      </c>
      <c r="W6" s="562" t="s">
        <v>343</v>
      </c>
      <c r="X6" s="576">
        <v>1559.45903918</v>
      </c>
      <c r="Y6" s="373"/>
      <c r="Z6" s="373">
        <f t="shared" ref="Z6:Z32" si="3">IF(Y6="x",X6,0)</f>
        <v>0</v>
      </c>
      <c r="AA6" s="373">
        <f t="shared" ref="AA6:AA32" si="4">X6-Z6</f>
        <v>1559.45903918</v>
      </c>
      <c r="AB6" s="577">
        <f t="shared" ref="AB6:AB32" si="5">X6-N6</f>
        <v>34.759039179999945</v>
      </c>
      <c r="AC6" s="374">
        <f t="shared" ref="AC6:AC32" si="6">AB6/N6</f>
        <v>2.2797297291270377E-2</v>
      </c>
      <c r="AD6" s="374">
        <f t="shared" ref="AD6:AD32" si="7">ABS(AC6)</f>
        <v>2.2797297291270377E-2</v>
      </c>
      <c r="AE6" s="373">
        <f t="shared" si="0"/>
        <v>1524.7</v>
      </c>
      <c r="AF6" s="371">
        <f t="shared" ref="AF6:AF32" si="8">X6-AE6</f>
        <v>34.759039179999945</v>
      </c>
      <c r="AG6" s="374">
        <f t="shared" ref="AG6:AG32" si="9">AF6/AE6</f>
        <v>2.2797297291270377E-2</v>
      </c>
      <c r="AH6" s="374">
        <v>2.2797297291270377E-2</v>
      </c>
      <c r="AI6" s="372"/>
      <c r="AJ6" s="372"/>
      <c r="AK6" s="373">
        <f t="shared" ref="AK6:AK32" si="10">IF(AJ6="x",AE6,0)</f>
        <v>0</v>
      </c>
      <c r="AL6" s="373">
        <f t="shared" ref="AL6:AL32" si="11">IF(AK6=0,AE6,0)</f>
        <v>1524.7</v>
      </c>
    </row>
    <row r="7" spans="1:41">
      <c r="A7" s="563" t="s">
        <v>270</v>
      </c>
      <c r="B7" s="562" t="s">
        <v>324</v>
      </c>
      <c r="C7" s="562">
        <v>13</v>
      </c>
      <c r="D7" s="562">
        <v>13</v>
      </c>
      <c r="E7" s="562" t="s">
        <v>344</v>
      </c>
      <c r="F7" s="562" t="s">
        <v>345</v>
      </c>
      <c r="G7" s="562">
        <v>1.1001E+29</v>
      </c>
      <c r="H7" s="562" t="s">
        <v>327</v>
      </c>
      <c r="I7" s="562" t="s">
        <v>346</v>
      </c>
      <c r="J7" s="373">
        <v>820</v>
      </c>
      <c r="K7" s="373">
        <v>0</v>
      </c>
      <c r="L7" s="373">
        <v>1286.45</v>
      </c>
      <c r="M7" s="373">
        <f t="shared" si="1"/>
        <v>898.84261500000002</v>
      </c>
      <c r="N7" s="373">
        <f t="shared" si="2"/>
        <v>898.84261500000002</v>
      </c>
      <c r="O7" s="562">
        <v>6853010000000</v>
      </c>
      <c r="P7" s="562" t="s">
        <v>347</v>
      </c>
      <c r="Q7" s="527">
        <v>85</v>
      </c>
      <c r="R7" s="562" t="s">
        <v>348</v>
      </c>
      <c r="S7" s="562" t="s">
        <v>330</v>
      </c>
      <c r="T7" s="562" t="s">
        <v>349</v>
      </c>
      <c r="U7" s="562" t="s">
        <v>332</v>
      </c>
      <c r="V7" s="562" t="s">
        <v>350</v>
      </c>
      <c r="W7" s="562" t="s">
        <v>349</v>
      </c>
      <c r="X7" s="576">
        <v>817.516231199</v>
      </c>
      <c r="Y7" s="373"/>
      <c r="Z7" s="373">
        <f t="shared" si="3"/>
        <v>0</v>
      </c>
      <c r="AA7" s="373">
        <f t="shared" si="4"/>
        <v>817.516231199</v>
      </c>
      <c r="AB7" s="577">
        <f t="shared" si="5"/>
        <v>-81.32638380100002</v>
      </c>
      <c r="AC7" s="374">
        <f t="shared" si="6"/>
        <v>-9.0479003157855412E-2</v>
      </c>
      <c r="AD7" s="374">
        <f t="shared" si="7"/>
        <v>9.0479003157855412E-2</v>
      </c>
      <c r="AE7" s="373">
        <f t="shared" si="0"/>
        <v>898.84261500000002</v>
      </c>
      <c r="AF7" s="371">
        <f t="shared" si="8"/>
        <v>-81.32638380100002</v>
      </c>
      <c r="AG7" s="374">
        <f t="shared" si="9"/>
        <v>-9.0479003157855412E-2</v>
      </c>
      <c r="AH7" s="374">
        <v>9.0479003157855412E-2</v>
      </c>
      <c r="AI7" s="372"/>
      <c r="AJ7" s="372"/>
      <c r="AK7" s="373">
        <f t="shared" si="10"/>
        <v>0</v>
      </c>
      <c r="AL7" s="373">
        <f t="shared" si="11"/>
        <v>898.84261500000002</v>
      </c>
    </row>
    <row r="8" spans="1:41">
      <c r="A8" s="563" t="s">
        <v>282</v>
      </c>
      <c r="B8" s="562" t="s">
        <v>324</v>
      </c>
      <c r="C8" s="562">
        <v>30</v>
      </c>
      <c r="D8" s="562">
        <v>30</v>
      </c>
      <c r="E8" s="562" t="s">
        <v>351</v>
      </c>
      <c r="F8" s="562" t="s">
        <v>352</v>
      </c>
      <c r="G8" s="562">
        <v>1.1001014316E+29</v>
      </c>
      <c r="H8" s="562" t="s">
        <v>327</v>
      </c>
      <c r="I8" s="562" t="s">
        <v>353</v>
      </c>
      <c r="J8" s="373">
        <v>3609.13</v>
      </c>
      <c r="K8" s="373">
        <v>3821.45</v>
      </c>
      <c r="L8" s="373">
        <v>0</v>
      </c>
      <c r="M8" s="373">
        <f t="shared" si="1"/>
        <v>3821.45</v>
      </c>
      <c r="N8" s="373">
        <f t="shared" si="2"/>
        <v>3821.45</v>
      </c>
      <c r="O8" s="562">
        <v>6853013353130</v>
      </c>
      <c r="P8" s="562" t="s">
        <v>347</v>
      </c>
      <c r="Q8" s="527">
        <v>68</v>
      </c>
      <c r="R8" s="562" t="s">
        <v>354</v>
      </c>
      <c r="S8" s="562" t="s">
        <v>330</v>
      </c>
      <c r="T8" s="562" t="s">
        <v>349</v>
      </c>
      <c r="U8" s="562" t="s">
        <v>341</v>
      </c>
      <c r="V8" s="562" t="s">
        <v>355</v>
      </c>
      <c r="W8" s="562" t="s">
        <v>349</v>
      </c>
      <c r="X8" s="576">
        <v>3942.0852054000002</v>
      </c>
      <c r="Y8" s="373"/>
      <c r="Z8" s="373">
        <f t="shared" si="3"/>
        <v>0</v>
      </c>
      <c r="AA8" s="373">
        <f t="shared" si="4"/>
        <v>3942.0852054000002</v>
      </c>
      <c r="AB8" s="577">
        <f t="shared" si="5"/>
        <v>120.63520540000036</v>
      </c>
      <c r="AC8" s="374">
        <f t="shared" si="6"/>
        <v>3.1567914116369535E-2</v>
      </c>
      <c r="AD8" s="374">
        <f t="shared" si="7"/>
        <v>3.1567914116369535E-2</v>
      </c>
      <c r="AE8" s="373">
        <f t="shared" si="0"/>
        <v>3821.45</v>
      </c>
      <c r="AF8" s="371">
        <f t="shared" si="8"/>
        <v>120.63520540000036</v>
      </c>
      <c r="AG8" s="374">
        <f t="shared" si="9"/>
        <v>3.1567914116369535E-2</v>
      </c>
      <c r="AH8" s="374">
        <v>3.1567914116369535E-2</v>
      </c>
      <c r="AI8" s="372"/>
      <c r="AJ8" s="372"/>
      <c r="AK8" s="373">
        <f t="shared" si="10"/>
        <v>0</v>
      </c>
      <c r="AL8" s="373">
        <f t="shared" si="11"/>
        <v>3821.45</v>
      </c>
    </row>
    <row r="9" spans="1:41">
      <c r="A9" s="563" t="s">
        <v>283</v>
      </c>
      <c r="B9" s="562" t="s">
        <v>324</v>
      </c>
      <c r="C9" s="562">
        <v>3</v>
      </c>
      <c r="D9" s="562">
        <v>3</v>
      </c>
      <c r="E9" s="562" t="s">
        <v>356</v>
      </c>
      <c r="F9" s="562" t="s">
        <v>357</v>
      </c>
      <c r="G9" s="562">
        <v>1.1001014316E+29</v>
      </c>
      <c r="H9" s="562" t="s">
        <v>327</v>
      </c>
      <c r="I9" s="562" t="s">
        <v>358</v>
      </c>
      <c r="J9" s="373">
        <v>1412.7</v>
      </c>
      <c r="K9" s="373">
        <v>4711.0119999999997</v>
      </c>
      <c r="L9" s="373">
        <v>0</v>
      </c>
      <c r="M9" s="373">
        <f t="shared" si="1"/>
        <v>4711.0119999999997</v>
      </c>
      <c r="N9" s="373">
        <f t="shared" si="2"/>
        <v>4711.0119999999997</v>
      </c>
      <c r="O9" s="562">
        <v>6853011252330</v>
      </c>
      <c r="P9" s="562" t="s">
        <v>8</v>
      </c>
      <c r="Q9" s="527">
        <v>42</v>
      </c>
      <c r="R9" s="562" t="s">
        <v>359</v>
      </c>
      <c r="S9" s="562" t="s">
        <v>330</v>
      </c>
      <c r="T9" s="562" t="s">
        <v>349</v>
      </c>
      <c r="U9" s="562" t="s">
        <v>341</v>
      </c>
      <c r="V9" s="562" t="s">
        <v>360</v>
      </c>
      <c r="W9" s="562" t="s">
        <v>361</v>
      </c>
      <c r="X9" s="576">
        <v>4690.4131096499996</v>
      </c>
      <c r="Y9" s="373"/>
      <c r="Z9" s="373">
        <f t="shared" si="3"/>
        <v>0</v>
      </c>
      <c r="AA9" s="373">
        <f t="shared" si="4"/>
        <v>4690.4131096499996</v>
      </c>
      <c r="AB9" s="577">
        <f t="shared" si="5"/>
        <v>-20.598890350000147</v>
      </c>
      <c r="AC9" s="374">
        <f t="shared" si="6"/>
        <v>-4.3724979579759403E-3</v>
      </c>
      <c r="AD9" s="374">
        <f t="shared" si="7"/>
        <v>4.3724979579759403E-3</v>
      </c>
      <c r="AE9" s="373">
        <f t="shared" si="0"/>
        <v>4711.0119999999997</v>
      </c>
      <c r="AF9" s="371">
        <f t="shared" si="8"/>
        <v>-20.598890350000147</v>
      </c>
      <c r="AG9" s="374">
        <f t="shared" si="9"/>
        <v>-4.3724979579759403E-3</v>
      </c>
      <c r="AH9" s="374">
        <v>4.3724979579759403E-3</v>
      </c>
      <c r="AI9" s="372"/>
      <c r="AJ9" s="372"/>
      <c r="AK9" s="373">
        <f t="shared" si="10"/>
        <v>0</v>
      </c>
      <c r="AL9" s="373">
        <f t="shared" si="11"/>
        <v>4711.0119999999997</v>
      </c>
    </row>
    <row r="10" spans="1:41">
      <c r="A10" s="563" t="s">
        <v>266</v>
      </c>
      <c r="B10" s="562" t="s">
        <v>324</v>
      </c>
      <c r="C10" s="562">
        <v>18</v>
      </c>
      <c r="D10" s="562">
        <v>18</v>
      </c>
      <c r="E10" s="562" t="s">
        <v>362</v>
      </c>
      <c r="F10" s="562" t="s">
        <v>363</v>
      </c>
      <c r="G10" s="562">
        <v>1.1001E+29</v>
      </c>
      <c r="H10" s="562" t="s">
        <v>327</v>
      </c>
      <c r="I10" s="562" t="s">
        <v>364</v>
      </c>
      <c r="J10" s="373">
        <v>811.9</v>
      </c>
      <c r="K10" s="373">
        <v>0</v>
      </c>
      <c r="L10" s="373">
        <v>1271.58</v>
      </c>
      <c r="M10" s="373">
        <f t="shared" si="1"/>
        <v>888.45294599999988</v>
      </c>
      <c r="N10" s="373">
        <f t="shared" si="2"/>
        <v>888.45294599999988</v>
      </c>
      <c r="O10" s="562">
        <v>6853010000000</v>
      </c>
      <c r="P10" s="562" t="s">
        <v>8</v>
      </c>
      <c r="Q10" s="527">
        <v>79</v>
      </c>
      <c r="R10" s="562" t="s">
        <v>365</v>
      </c>
      <c r="S10" s="562" t="s">
        <v>330</v>
      </c>
      <c r="T10" s="562" t="s">
        <v>349</v>
      </c>
      <c r="U10" s="562" t="s">
        <v>332</v>
      </c>
      <c r="V10" s="562" t="s">
        <v>366</v>
      </c>
      <c r="W10" s="562" t="s">
        <v>349</v>
      </c>
      <c r="X10" s="576">
        <v>811.64101487899995</v>
      </c>
      <c r="Y10" s="373"/>
      <c r="Z10" s="373">
        <f t="shared" si="3"/>
        <v>0</v>
      </c>
      <c r="AA10" s="373">
        <f t="shared" si="4"/>
        <v>811.64101487899995</v>
      </c>
      <c r="AB10" s="577">
        <f t="shared" si="5"/>
        <v>-76.81193112099993</v>
      </c>
      <c r="AC10" s="374">
        <f t="shared" si="6"/>
        <v>-8.6455823537783555E-2</v>
      </c>
      <c r="AD10" s="374">
        <f t="shared" si="7"/>
        <v>8.6455823537783555E-2</v>
      </c>
      <c r="AE10" s="373">
        <f t="shared" si="0"/>
        <v>888.45294599999988</v>
      </c>
      <c r="AF10" s="371">
        <f t="shared" si="8"/>
        <v>-76.81193112099993</v>
      </c>
      <c r="AG10" s="374">
        <f t="shared" si="9"/>
        <v>-8.6455823537783555E-2</v>
      </c>
      <c r="AH10" s="374">
        <v>8.6455823537783555E-2</v>
      </c>
      <c r="AI10" s="372"/>
      <c r="AJ10" s="372"/>
      <c r="AK10" s="373">
        <f t="shared" si="10"/>
        <v>0</v>
      </c>
      <c r="AL10" s="373">
        <f t="shared" si="11"/>
        <v>888.45294599999988</v>
      </c>
    </row>
    <row r="11" spans="1:41">
      <c r="A11" s="563" t="s">
        <v>271</v>
      </c>
      <c r="B11" s="562" t="s">
        <v>324</v>
      </c>
      <c r="C11" s="562">
        <v>15</v>
      </c>
      <c r="D11" s="562">
        <v>15</v>
      </c>
      <c r="E11" s="562" t="s">
        <v>367</v>
      </c>
      <c r="F11" s="562" t="s">
        <v>368</v>
      </c>
      <c r="G11" s="562">
        <v>1.1001E+29</v>
      </c>
      <c r="H11" s="562" t="s">
        <v>327</v>
      </c>
      <c r="I11" s="562" t="s">
        <v>369</v>
      </c>
      <c r="J11" s="373">
        <v>554</v>
      </c>
      <c r="K11" s="373">
        <v>818.57</v>
      </c>
      <c r="L11" s="373">
        <v>0</v>
      </c>
      <c r="M11" s="373">
        <f t="shared" si="1"/>
        <v>818.57</v>
      </c>
      <c r="N11" s="373">
        <f t="shared" si="2"/>
        <v>818.57</v>
      </c>
      <c r="O11" s="562">
        <v>6853010000000</v>
      </c>
      <c r="P11" s="562" t="s">
        <v>8</v>
      </c>
      <c r="Q11" s="527">
        <v>78</v>
      </c>
      <c r="R11" s="562" t="s">
        <v>370</v>
      </c>
      <c r="S11" s="562" t="s">
        <v>330</v>
      </c>
      <c r="T11" s="562" t="s">
        <v>349</v>
      </c>
      <c r="U11" s="562" t="s">
        <v>332</v>
      </c>
      <c r="V11" s="562" t="s">
        <v>371</v>
      </c>
      <c r="W11" s="562" t="s">
        <v>349</v>
      </c>
      <c r="X11" s="576">
        <v>814.02717380900003</v>
      </c>
      <c r="Y11" s="373"/>
      <c r="Z11" s="373">
        <f t="shared" si="3"/>
        <v>0</v>
      </c>
      <c r="AA11" s="373">
        <f t="shared" si="4"/>
        <v>814.02717380900003</v>
      </c>
      <c r="AB11" s="577">
        <f t="shared" si="5"/>
        <v>-4.5428261910000174</v>
      </c>
      <c r="AC11" s="374">
        <f t="shared" si="6"/>
        <v>-5.5497100932113529E-3</v>
      </c>
      <c r="AD11" s="374">
        <f t="shared" si="7"/>
        <v>5.5497100932113529E-3</v>
      </c>
      <c r="AE11" s="373">
        <f t="shared" si="0"/>
        <v>818.57</v>
      </c>
      <c r="AF11" s="371">
        <f t="shared" si="8"/>
        <v>-4.5428261910000174</v>
      </c>
      <c r="AG11" s="374">
        <f t="shared" si="9"/>
        <v>-5.5497100932113529E-3</v>
      </c>
      <c r="AH11" s="374">
        <v>5.5497100932113529E-3</v>
      </c>
      <c r="AI11" s="372"/>
      <c r="AJ11" s="372"/>
      <c r="AK11" s="373">
        <f t="shared" si="10"/>
        <v>0</v>
      </c>
      <c r="AL11" s="373">
        <f t="shared" si="11"/>
        <v>818.57</v>
      </c>
    </row>
    <row r="12" spans="1:41">
      <c r="A12" s="563" t="s">
        <v>272</v>
      </c>
      <c r="B12" s="562" t="s">
        <v>324</v>
      </c>
      <c r="C12" s="562">
        <v>14</v>
      </c>
      <c r="D12" s="562">
        <v>14</v>
      </c>
      <c r="E12" s="562" t="s">
        <v>372</v>
      </c>
      <c r="F12" s="562" t="s">
        <v>373</v>
      </c>
      <c r="G12" s="562">
        <v>1.1001E+29</v>
      </c>
      <c r="H12" s="562" t="s">
        <v>327</v>
      </c>
      <c r="I12" s="562" t="s">
        <v>374</v>
      </c>
      <c r="J12" s="373">
        <v>1640</v>
      </c>
      <c r="K12" s="373">
        <v>0</v>
      </c>
      <c r="L12" s="373">
        <v>0</v>
      </c>
      <c r="M12" s="373">
        <f t="shared" si="1"/>
        <v>0</v>
      </c>
      <c r="N12" s="373">
        <f t="shared" si="2"/>
        <v>1634.6309675800001</v>
      </c>
      <c r="O12" s="562">
        <v>6853010000000</v>
      </c>
      <c r="P12" s="562" t="s">
        <v>347</v>
      </c>
      <c r="Q12" s="527">
        <v>85</v>
      </c>
      <c r="R12" s="562" t="s">
        <v>375</v>
      </c>
      <c r="S12" s="562" t="s">
        <v>330</v>
      </c>
      <c r="T12" s="562" t="s">
        <v>349</v>
      </c>
      <c r="U12" s="562" t="s">
        <v>332</v>
      </c>
      <c r="V12" s="562" t="s">
        <v>376</v>
      </c>
      <c r="W12" s="562" t="s">
        <v>349</v>
      </c>
      <c r="X12" s="576">
        <v>1634.6309675800001</v>
      </c>
      <c r="Y12" s="373"/>
      <c r="Z12" s="373">
        <f t="shared" si="3"/>
        <v>0</v>
      </c>
      <c r="AA12" s="373">
        <f t="shared" si="4"/>
        <v>1634.6309675800001</v>
      </c>
      <c r="AB12" s="577">
        <f t="shared" si="5"/>
        <v>0</v>
      </c>
      <c r="AC12" s="374">
        <f t="shared" si="6"/>
        <v>0</v>
      </c>
      <c r="AD12" s="374">
        <f t="shared" si="7"/>
        <v>0</v>
      </c>
      <c r="AE12" s="373">
        <f t="shared" si="0"/>
        <v>1634.6309675800001</v>
      </c>
      <c r="AF12" s="371">
        <f t="shared" si="8"/>
        <v>0</v>
      </c>
      <c r="AG12" s="374">
        <f t="shared" si="9"/>
        <v>0</v>
      </c>
      <c r="AH12" s="374">
        <v>0</v>
      </c>
      <c r="AI12" s="372"/>
      <c r="AJ12" s="372"/>
      <c r="AK12" s="373">
        <f t="shared" si="10"/>
        <v>0</v>
      </c>
      <c r="AL12" s="373">
        <f t="shared" si="11"/>
        <v>1634.6309675800001</v>
      </c>
    </row>
    <row r="13" spans="1:41">
      <c r="A13" s="563" t="s">
        <v>264</v>
      </c>
      <c r="B13" s="562" t="s">
        <v>324</v>
      </c>
      <c r="C13" s="562">
        <v>21</v>
      </c>
      <c r="D13" s="562">
        <v>21</v>
      </c>
      <c r="E13" s="562" t="s">
        <v>377</v>
      </c>
      <c r="F13" s="562" t="s">
        <v>378</v>
      </c>
      <c r="G13" s="562">
        <v>1.1001E+29</v>
      </c>
      <c r="H13" s="562" t="s">
        <v>327</v>
      </c>
      <c r="I13" s="562" t="s">
        <v>379</v>
      </c>
      <c r="J13" s="373">
        <v>43867.5</v>
      </c>
      <c r="K13" s="373">
        <v>55087.11</v>
      </c>
      <c r="L13" s="373">
        <v>0</v>
      </c>
      <c r="M13" s="373">
        <f t="shared" si="1"/>
        <v>55087.11</v>
      </c>
      <c r="N13" s="373">
        <f t="shared" si="2"/>
        <v>55087.11</v>
      </c>
      <c r="O13" s="562">
        <v>6853010000000</v>
      </c>
      <c r="P13" s="562" t="s">
        <v>8</v>
      </c>
      <c r="Q13" s="527">
        <v>45</v>
      </c>
      <c r="R13" s="562" t="s">
        <v>380</v>
      </c>
      <c r="S13" s="562" t="s">
        <v>330</v>
      </c>
      <c r="T13" s="562" t="s">
        <v>349</v>
      </c>
      <c r="U13" s="562" t="s">
        <v>332</v>
      </c>
      <c r="V13" s="562" t="s">
        <v>381</v>
      </c>
      <c r="W13" s="562" t="s">
        <v>349</v>
      </c>
      <c r="X13" s="576">
        <v>55539.154326700002</v>
      </c>
      <c r="Y13" s="373"/>
      <c r="Z13" s="373">
        <f t="shared" si="3"/>
        <v>0</v>
      </c>
      <c r="AA13" s="373">
        <f t="shared" si="4"/>
        <v>55539.154326700002</v>
      </c>
      <c r="AB13" s="577">
        <f t="shared" si="5"/>
        <v>452.04432670000097</v>
      </c>
      <c r="AC13" s="374">
        <f t="shared" si="6"/>
        <v>8.2059909604987619E-3</v>
      </c>
      <c r="AD13" s="374">
        <f t="shared" si="7"/>
        <v>8.2059909604987619E-3</v>
      </c>
      <c r="AE13" s="373">
        <f t="shared" si="0"/>
        <v>55087.11</v>
      </c>
      <c r="AF13" s="371">
        <f t="shared" si="8"/>
        <v>452.04432670000097</v>
      </c>
      <c r="AG13" s="374">
        <f t="shared" si="9"/>
        <v>8.2059909604987619E-3</v>
      </c>
      <c r="AH13" s="374">
        <v>8.2059909604987619E-3</v>
      </c>
      <c r="AI13" s="372"/>
      <c r="AJ13" s="372"/>
      <c r="AK13" s="373">
        <f t="shared" si="10"/>
        <v>0</v>
      </c>
      <c r="AL13" s="373">
        <f t="shared" si="11"/>
        <v>55087.11</v>
      </c>
    </row>
    <row r="14" spans="1:41">
      <c r="A14" s="563" t="s">
        <v>276</v>
      </c>
      <c r="B14" s="562" t="s">
        <v>324</v>
      </c>
      <c r="C14" s="562">
        <v>10</v>
      </c>
      <c r="D14" s="562">
        <v>10</v>
      </c>
      <c r="E14" s="562" t="s">
        <v>382</v>
      </c>
      <c r="F14" s="562" t="s">
        <v>383</v>
      </c>
      <c r="G14" s="562">
        <v>1.1001E+29</v>
      </c>
      <c r="H14" s="562" t="s">
        <v>327</v>
      </c>
      <c r="I14" s="562" t="s">
        <v>384</v>
      </c>
      <c r="J14" s="373">
        <v>925.5</v>
      </c>
      <c r="K14" s="373">
        <v>0</v>
      </c>
      <c r="L14" s="373">
        <v>2590.25</v>
      </c>
      <c r="M14" s="373">
        <f t="shared" si="1"/>
        <v>1809.807675</v>
      </c>
      <c r="N14" s="373">
        <f t="shared" si="2"/>
        <v>1809.807675</v>
      </c>
      <c r="O14" s="562">
        <v>6853010000000</v>
      </c>
      <c r="P14" s="562" t="s">
        <v>347</v>
      </c>
      <c r="Q14" s="527">
        <v>42</v>
      </c>
      <c r="R14" s="562" t="s">
        <v>385</v>
      </c>
      <c r="S14" s="562" t="s">
        <v>330</v>
      </c>
      <c r="T14" s="562" t="s">
        <v>386</v>
      </c>
      <c r="U14" s="562" t="s">
        <v>332</v>
      </c>
      <c r="V14" s="562" t="s">
        <v>387</v>
      </c>
      <c r="W14" s="562" t="s">
        <v>386</v>
      </c>
      <c r="X14" s="576">
        <v>821.12635442700002</v>
      </c>
      <c r="Y14" s="373"/>
      <c r="Z14" s="373">
        <f t="shared" si="3"/>
        <v>0</v>
      </c>
      <c r="AA14" s="373">
        <f t="shared" si="4"/>
        <v>821.12635442700002</v>
      </c>
      <c r="AB14" s="577">
        <f t="shared" si="5"/>
        <v>-988.68132057299999</v>
      </c>
      <c r="AC14" s="374">
        <f t="shared" si="6"/>
        <v>-0.54629082096969228</v>
      </c>
      <c r="AD14" s="374">
        <f t="shared" si="7"/>
        <v>0.54629082096969228</v>
      </c>
      <c r="AE14" s="373">
        <f>IF(AD14&gt;10%,X14,N14)</f>
        <v>821.12635442700002</v>
      </c>
      <c r="AF14" s="371">
        <f t="shared" si="8"/>
        <v>0</v>
      </c>
      <c r="AG14" s="374">
        <f t="shared" si="9"/>
        <v>0</v>
      </c>
      <c r="AH14" s="374">
        <v>0</v>
      </c>
      <c r="AI14" s="372"/>
      <c r="AJ14" s="372"/>
      <c r="AK14" s="373">
        <f t="shared" si="10"/>
        <v>0</v>
      </c>
      <c r="AL14" s="373">
        <f t="shared" si="11"/>
        <v>821.12635442700002</v>
      </c>
    </row>
    <row r="15" spans="1:41">
      <c r="A15" s="563" t="s">
        <v>277</v>
      </c>
      <c r="B15" s="562" t="s">
        <v>324</v>
      </c>
      <c r="C15" s="562">
        <v>5</v>
      </c>
      <c r="D15" s="562">
        <v>5</v>
      </c>
      <c r="E15" s="562" t="s">
        <v>388</v>
      </c>
      <c r="F15" s="562" t="s">
        <v>389</v>
      </c>
      <c r="G15" s="562">
        <v>1.1001E+29</v>
      </c>
      <c r="H15" s="562" t="s">
        <v>327</v>
      </c>
      <c r="I15" s="562" t="s">
        <v>390</v>
      </c>
      <c r="J15" s="373">
        <v>1254.9000000000001</v>
      </c>
      <c r="K15" s="373">
        <v>1391.26</v>
      </c>
      <c r="L15" s="373">
        <v>1915.68</v>
      </c>
      <c r="M15" s="373">
        <f t="shared" si="1"/>
        <v>1391.26</v>
      </c>
      <c r="N15" s="373">
        <f t="shared" si="2"/>
        <v>1391.26</v>
      </c>
      <c r="O15" s="562">
        <v>6853010000000</v>
      </c>
      <c r="P15" s="562" t="s">
        <v>347</v>
      </c>
      <c r="Q15" s="527">
        <v>58</v>
      </c>
      <c r="R15" s="562" t="s">
        <v>391</v>
      </c>
      <c r="S15" s="562" t="s">
        <v>330</v>
      </c>
      <c r="T15" s="562" t="s">
        <v>349</v>
      </c>
      <c r="U15" s="562" t="s">
        <v>332</v>
      </c>
      <c r="V15" s="562" t="s">
        <v>392</v>
      </c>
      <c r="W15" s="562" t="s">
        <v>393</v>
      </c>
      <c r="X15" s="576">
        <v>1206.97006059</v>
      </c>
      <c r="Y15" s="373"/>
      <c r="Z15" s="373">
        <f t="shared" si="3"/>
        <v>0</v>
      </c>
      <c r="AA15" s="373">
        <f t="shared" si="4"/>
        <v>1206.97006059</v>
      </c>
      <c r="AB15" s="577">
        <f t="shared" si="5"/>
        <v>-184.28993940999999</v>
      </c>
      <c r="AC15" s="374">
        <f t="shared" si="6"/>
        <v>-0.13246261619682875</v>
      </c>
      <c r="AD15" s="374">
        <f t="shared" si="7"/>
        <v>0.13246261619682875</v>
      </c>
      <c r="AE15" s="373">
        <f t="shared" ref="AE15:AE32" si="12">IF(AD15&gt;10%,X15,N15)</f>
        <v>1206.97006059</v>
      </c>
      <c r="AF15" s="371">
        <f t="shared" si="8"/>
        <v>0</v>
      </c>
      <c r="AG15" s="374">
        <f t="shared" si="9"/>
        <v>0</v>
      </c>
      <c r="AH15" s="374">
        <v>0</v>
      </c>
      <c r="AI15" s="372"/>
      <c r="AJ15" s="372"/>
      <c r="AK15" s="373">
        <f t="shared" si="10"/>
        <v>0</v>
      </c>
      <c r="AL15" s="373">
        <f t="shared" si="11"/>
        <v>1206.97006059</v>
      </c>
    </row>
    <row r="16" spans="1:41">
      <c r="A16" s="563" t="s">
        <v>284</v>
      </c>
      <c r="B16" s="562" t="s">
        <v>324</v>
      </c>
      <c r="C16" s="562">
        <v>29</v>
      </c>
      <c r="D16" s="562">
        <v>29</v>
      </c>
      <c r="E16" s="562" t="s">
        <v>394</v>
      </c>
      <c r="F16" s="562" t="s">
        <v>395</v>
      </c>
      <c r="G16" s="562">
        <v>1.1001014316E+29</v>
      </c>
      <c r="H16" s="562" t="s">
        <v>327</v>
      </c>
      <c r="I16" s="562" t="s">
        <v>396</v>
      </c>
      <c r="J16" s="373">
        <v>8004</v>
      </c>
      <c r="K16" s="373">
        <v>7962.62</v>
      </c>
      <c r="L16" s="373">
        <v>0</v>
      </c>
      <c r="M16" s="373">
        <f t="shared" si="1"/>
        <v>7962.62</v>
      </c>
      <c r="N16" s="373">
        <f t="shared" si="2"/>
        <v>7962.62</v>
      </c>
      <c r="O16" s="562">
        <v>6853013353130</v>
      </c>
      <c r="P16" s="562" t="s">
        <v>347</v>
      </c>
      <c r="Q16" s="527">
        <v>50</v>
      </c>
      <c r="R16" s="562" t="s">
        <v>397</v>
      </c>
      <c r="S16" s="562" t="s">
        <v>330</v>
      </c>
      <c r="T16" s="562" t="s">
        <v>349</v>
      </c>
      <c r="U16" s="562" t="s">
        <v>341</v>
      </c>
      <c r="V16" s="562" t="s">
        <v>398</v>
      </c>
      <c r="W16" s="562" t="s">
        <v>349</v>
      </c>
      <c r="X16" s="576">
        <v>6020.3174501399999</v>
      </c>
      <c r="Y16" s="373"/>
      <c r="Z16" s="373">
        <f t="shared" si="3"/>
        <v>0</v>
      </c>
      <c r="AA16" s="373">
        <f t="shared" si="4"/>
        <v>6020.3174501399999</v>
      </c>
      <c r="AB16" s="577">
        <f t="shared" si="5"/>
        <v>-1942.30254986</v>
      </c>
      <c r="AC16" s="374">
        <f t="shared" si="6"/>
        <v>-0.24392757030474893</v>
      </c>
      <c r="AD16" s="374">
        <f t="shared" si="7"/>
        <v>0.24392757030474893</v>
      </c>
      <c r="AE16" s="373">
        <f t="shared" si="12"/>
        <v>6020.3174501399999</v>
      </c>
      <c r="AF16" s="371">
        <f t="shared" si="8"/>
        <v>0</v>
      </c>
      <c r="AG16" s="374">
        <f t="shared" si="9"/>
        <v>0</v>
      </c>
      <c r="AH16" s="374">
        <v>0</v>
      </c>
      <c r="AI16" s="372"/>
      <c r="AJ16" s="372"/>
      <c r="AK16" s="373">
        <f t="shared" si="10"/>
        <v>0</v>
      </c>
      <c r="AL16" s="373">
        <f t="shared" si="11"/>
        <v>6020.3174501399999</v>
      </c>
    </row>
    <row r="17" spans="1:38">
      <c r="A17" s="563" t="s">
        <v>278</v>
      </c>
      <c r="B17" s="562" t="s">
        <v>324</v>
      </c>
      <c r="C17" s="562">
        <v>9</v>
      </c>
      <c r="D17" s="562">
        <v>9</v>
      </c>
      <c r="E17" s="562" t="s">
        <v>399</v>
      </c>
      <c r="F17" s="562" t="s">
        <v>400</v>
      </c>
      <c r="G17" s="562">
        <v>1.1001E+29</v>
      </c>
      <c r="H17" s="562" t="s">
        <v>327</v>
      </c>
      <c r="I17" s="562" t="s">
        <v>401</v>
      </c>
      <c r="J17" s="373">
        <v>924.9</v>
      </c>
      <c r="K17" s="373">
        <v>900</v>
      </c>
      <c r="L17" s="373">
        <v>1300</v>
      </c>
      <c r="M17" s="373">
        <f t="shared" si="1"/>
        <v>900</v>
      </c>
      <c r="N17" s="373">
        <f t="shared" si="2"/>
        <v>900</v>
      </c>
      <c r="O17" s="562">
        <v>6853010000000</v>
      </c>
      <c r="P17" s="562" t="s">
        <v>8</v>
      </c>
      <c r="Q17" s="527">
        <v>42</v>
      </c>
      <c r="R17" s="562" t="s">
        <v>402</v>
      </c>
      <c r="S17" s="562" t="s">
        <v>330</v>
      </c>
      <c r="T17" s="562" t="s">
        <v>403</v>
      </c>
      <c r="U17" s="562" t="s">
        <v>332</v>
      </c>
      <c r="V17" s="562" t="s">
        <v>404</v>
      </c>
      <c r="W17" s="562" t="s">
        <v>405</v>
      </c>
      <c r="X17" s="576">
        <v>819.92433800200001</v>
      </c>
      <c r="Y17" s="373"/>
      <c r="Z17" s="373">
        <f t="shared" si="3"/>
        <v>0</v>
      </c>
      <c r="AA17" s="373">
        <f t="shared" si="4"/>
        <v>819.92433800200001</v>
      </c>
      <c r="AB17" s="577">
        <f t="shared" si="5"/>
        <v>-80.075661997999987</v>
      </c>
      <c r="AC17" s="374">
        <f t="shared" si="6"/>
        <v>-8.8972957775555542E-2</v>
      </c>
      <c r="AD17" s="374">
        <f t="shared" si="7"/>
        <v>8.8972957775555542E-2</v>
      </c>
      <c r="AE17" s="373">
        <f t="shared" si="12"/>
        <v>900</v>
      </c>
      <c r="AF17" s="371">
        <f t="shared" si="8"/>
        <v>-80.075661997999987</v>
      </c>
      <c r="AG17" s="374">
        <f t="shared" si="9"/>
        <v>-8.8972957775555542E-2</v>
      </c>
      <c r="AH17" s="374">
        <v>8.8972957775555542E-2</v>
      </c>
      <c r="AI17" s="372"/>
      <c r="AJ17" s="372"/>
      <c r="AK17" s="373">
        <f t="shared" si="10"/>
        <v>0</v>
      </c>
      <c r="AL17" s="373">
        <f t="shared" si="11"/>
        <v>900</v>
      </c>
    </row>
    <row r="18" spans="1:38">
      <c r="A18" s="563" t="s">
        <v>273</v>
      </c>
      <c r="B18" s="562" t="s">
        <v>324</v>
      </c>
      <c r="C18" s="562">
        <v>12</v>
      </c>
      <c r="D18" s="562">
        <v>12</v>
      </c>
      <c r="E18" s="562" t="s">
        <v>406</v>
      </c>
      <c r="F18" s="562" t="s">
        <v>407</v>
      </c>
      <c r="G18" s="562">
        <v>1.1001E+29</v>
      </c>
      <c r="H18" s="562" t="s">
        <v>327</v>
      </c>
      <c r="I18" s="562" t="s">
        <v>408</v>
      </c>
      <c r="J18" s="373">
        <v>910.4</v>
      </c>
      <c r="K18" s="373">
        <v>824.91</v>
      </c>
      <c r="L18" s="373">
        <v>1288.92</v>
      </c>
      <c r="M18" s="373">
        <f t="shared" si="1"/>
        <v>824.91</v>
      </c>
      <c r="N18" s="373">
        <f t="shared" si="2"/>
        <v>824.91</v>
      </c>
      <c r="O18" s="562">
        <v>6853010000000</v>
      </c>
      <c r="P18" s="562" t="s">
        <v>347</v>
      </c>
      <c r="Q18" s="527">
        <v>42</v>
      </c>
      <c r="R18" s="562" t="s">
        <v>409</v>
      </c>
      <c r="S18" s="562" t="s">
        <v>330</v>
      </c>
      <c r="T18" s="562" t="s">
        <v>410</v>
      </c>
      <c r="U18" s="562" t="s">
        <v>332</v>
      </c>
      <c r="V18" s="562" t="s">
        <v>411</v>
      </c>
      <c r="W18" s="562" t="s">
        <v>412</v>
      </c>
      <c r="X18" s="576">
        <v>820.37306783199995</v>
      </c>
      <c r="Y18" s="373"/>
      <c r="Z18" s="373">
        <f t="shared" si="3"/>
        <v>0</v>
      </c>
      <c r="AA18" s="373">
        <f t="shared" si="4"/>
        <v>820.37306783199995</v>
      </c>
      <c r="AB18" s="577">
        <f t="shared" si="5"/>
        <v>-4.5369321680000212</v>
      </c>
      <c r="AC18" s="374">
        <f t="shared" si="6"/>
        <v>-5.4999117091561762E-3</v>
      </c>
      <c r="AD18" s="374">
        <f t="shared" si="7"/>
        <v>5.4999117091561762E-3</v>
      </c>
      <c r="AE18" s="373">
        <f t="shared" si="12"/>
        <v>824.91</v>
      </c>
      <c r="AF18" s="371">
        <f t="shared" si="8"/>
        <v>-4.5369321680000212</v>
      </c>
      <c r="AG18" s="374">
        <f t="shared" si="9"/>
        <v>-5.4999117091561762E-3</v>
      </c>
      <c r="AH18" s="374">
        <v>5.4999117091561762E-3</v>
      </c>
      <c r="AI18" s="372"/>
      <c r="AJ18" s="372"/>
      <c r="AK18" s="373">
        <f t="shared" si="10"/>
        <v>0</v>
      </c>
      <c r="AL18" s="373">
        <f t="shared" si="11"/>
        <v>824.91</v>
      </c>
    </row>
    <row r="19" spans="1:38">
      <c r="A19" s="563" t="s">
        <v>279</v>
      </c>
      <c r="B19" s="562" t="s">
        <v>324</v>
      </c>
      <c r="C19" s="562">
        <v>7</v>
      </c>
      <c r="D19" s="562">
        <v>7</v>
      </c>
      <c r="E19" s="562" t="s">
        <v>413</v>
      </c>
      <c r="F19" s="562" t="s">
        <v>414</v>
      </c>
      <c r="G19" s="562">
        <v>1.1001E+29</v>
      </c>
      <c r="H19" s="562" t="s">
        <v>327</v>
      </c>
      <c r="I19" s="562" t="s">
        <v>415</v>
      </c>
      <c r="J19" s="373">
        <v>1142</v>
      </c>
      <c r="K19" s="373">
        <v>832.85</v>
      </c>
      <c r="L19" s="373">
        <v>0</v>
      </c>
      <c r="M19" s="373">
        <f t="shared" si="1"/>
        <v>832.85</v>
      </c>
      <c r="N19" s="373">
        <f t="shared" si="2"/>
        <v>832.85</v>
      </c>
      <c r="O19" s="562">
        <v>6853010000000</v>
      </c>
      <c r="P19" s="562" t="s">
        <v>347</v>
      </c>
      <c r="Q19" s="527">
        <v>66</v>
      </c>
      <c r="R19" s="562" t="s">
        <v>416</v>
      </c>
      <c r="S19" s="562" t="s">
        <v>330</v>
      </c>
      <c r="T19" s="562" t="s">
        <v>417</v>
      </c>
      <c r="U19" s="562" t="s">
        <v>332</v>
      </c>
      <c r="V19" s="562" t="s">
        <v>418</v>
      </c>
      <c r="W19" s="562" t="s">
        <v>417</v>
      </c>
      <c r="X19" s="576">
        <v>820.64756360399997</v>
      </c>
      <c r="Y19" s="373"/>
      <c r="Z19" s="373">
        <f t="shared" si="3"/>
        <v>0</v>
      </c>
      <c r="AA19" s="373">
        <f t="shared" si="4"/>
        <v>820.64756360399997</v>
      </c>
      <c r="AB19" s="577">
        <f t="shared" si="5"/>
        <v>-12.202436396000053</v>
      </c>
      <c r="AC19" s="374">
        <f t="shared" si="6"/>
        <v>-1.4651421499669871E-2</v>
      </c>
      <c r="AD19" s="374">
        <f t="shared" si="7"/>
        <v>1.4651421499669871E-2</v>
      </c>
      <c r="AE19" s="373">
        <f t="shared" si="12"/>
        <v>832.85</v>
      </c>
      <c r="AF19" s="371">
        <f t="shared" si="8"/>
        <v>-12.202436396000053</v>
      </c>
      <c r="AG19" s="374">
        <f t="shared" si="9"/>
        <v>-1.4651421499669871E-2</v>
      </c>
      <c r="AH19" s="374">
        <v>1.4651421499669871E-2</v>
      </c>
      <c r="AI19" s="372"/>
      <c r="AJ19" s="372"/>
      <c r="AK19" s="373">
        <f t="shared" si="10"/>
        <v>0</v>
      </c>
      <c r="AL19" s="373">
        <f t="shared" si="11"/>
        <v>832.85</v>
      </c>
    </row>
    <row r="20" spans="1:38">
      <c r="A20" s="563" t="s">
        <v>267</v>
      </c>
      <c r="B20" s="562" t="s">
        <v>324</v>
      </c>
      <c r="C20" s="562">
        <v>19</v>
      </c>
      <c r="D20" s="562">
        <v>19</v>
      </c>
      <c r="E20" s="562" t="s">
        <v>419</v>
      </c>
      <c r="F20" s="562" t="s">
        <v>420</v>
      </c>
      <c r="G20" s="562">
        <v>1.1001E+29</v>
      </c>
      <c r="H20" s="562" t="s">
        <v>327</v>
      </c>
      <c r="I20" s="562" t="s">
        <v>421</v>
      </c>
      <c r="J20" s="373">
        <v>812.2</v>
      </c>
      <c r="K20" s="373">
        <v>812</v>
      </c>
      <c r="L20" s="373">
        <v>0</v>
      </c>
      <c r="M20" s="373">
        <f t="shared" si="1"/>
        <v>812</v>
      </c>
      <c r="N20" s="373">
        <f t="shared" si="2"/>
        <v>812</v>
      </c>
      <c r="O20" s="562">
        <v>6853010000000</v>
      </c>
      <c r="P20" s="562" t="s">
        <v>347</v>
      </c>
      <c r="Q20" s="527">
        <v>79</v>
      </c>
      <c r="R20" s="562" t="s">
        <v>422</v>
      </c>
      <c r="S20" s="562" t="s">
        <v>330</v>
      </c>
      <c r="T20" s="562" t="s">
        <v>349</v>
      </c>
      <c r="U20" s="562" t="s">
        <v>332</v>
      </c>
      <c r="V20" s="562" t="s">
        <v>423</v>
      </c>
      <c r="W20" s="562" t="s">
        <v>349</v>
      </c>
      <c r="X20" s="576">
        <v>812.16271328100004</v>
      </c>
      <c r="Y20" s="373"/>
      <c r="Z20" s="373">
        <f t="shared" si="3"/>
        <v>0</v>
      </c>
      <c r="AA20" s="373">
        <f t="shared" si="4"/>
        <v>812.16271328100004</v>
      </c>
      <c r="AB20" s="577">
        <f t="shared" si="5"/>
        <v>0.16271328100003757</v>
      </c>
      <c r="AC20" s="374">
        <f t="shared" si="6"/>
        <v>2.0038581403945515E-4</v>
      </c>
      <c r="AD20" s="374">
        <f t="shared" si="7"/>
        <v>2.0038581403945515E-4</v>
      </c>
      <c r="AE20" s="373">
        <f t="shared" si="12"/>
        <v>812</v>
      </c>
      <c r="AF20" s="371">
        <f t="shared" si="8"/>
        <v>0.16271328100003757</v>
      </c>
      <c r="AG20" s="374">
        <f t="shared" si="9"/>
        <v>2.0038581403945515E-4</v>
      </c>
      <c r="AH20" s="374">
        <v>2.0038581403945515E-4</v>
      </c>
      <c r="AI20" s="372"/>
      <c r="AJ20" s="372"/>
      <c r="AK20" s="373">
        <f t="shared" si="10"/>
        <v>0</v>
      </c>
      <c r="AL20" s="373">
        <f t="shared" si="11"/>
        <v>812</v>
      </c>
    </row>
    <row r="21" spans="1:38">
      <c r="A21" s="563" t="s">
        <v>268</v>
      </c>
      <c r="B21" s="562" t="s">
        <v>324</v>
      </c>
      <c r="C21" s="562">
        <v>16</v>
      </c>
      <c r="D21" s="562">
        <v>16</v>
      </c>
      <c r="E21" s="562" t="s">
        <v>424</v>
      </c>
      <c r="F21" s="562" t="s">
        <v>425</v>
      </c>
      <c r="G21" s="562">
        <v>1.1001E+29</v>
      </c>
      <c r="H21" s="562" t="s">
        <v>327</v>
      </c>
      <c r="I21" s="562" t="s">
        <v>426</v>
      </c>
      <c r="J21" s="373">
        <v>575</v>
      </c>
      <c r="K21" s="373">
        <v>817</v>
      </c>
      <c r="L21" s="373">
        <v>1276.55</v>
      </c>
      <c r="M21" s="373">
        <f t="shared" si="1"/>
        <v>817</v>
      </c>
      <c r="N21" s="373">
        <f t="shared" si="2"/>
        <v>817</v>
      </c>
      <c r="O21" s="562">
        <v>6853010000000</v>
      </c>
      <c r="P21" s="562" t="s">
        <v>8</v>
      </c>
      <c r="Q21" s="527">
        <v>78</v>
      </c>
      <c r="R21" s="562" t="s">
        <v>427</v>
      </c>
      <c r="S21" s="562" t="s">
        <v>330</v>
      </c>
      <c r="T21" s="562" t="s">
        <v>349</v>
      </c>
      <c r="U21" s="562" t="s">
        <v>332</v>
      </c>
      <c r="V21" s="562" t="s">
        <v>428</v>
      </c>
      <c r="W21" s="562" t="s">
        <v>349</v>
      </c>
      <c r="X21" s="576">
        <v>813.94624626899997</v>
      </c>
      <c r="Y21" s="373"/>
      <c r="Z21" s="373">
        <f t="shared" si="3"/>
        <v>0</v>
      </c>
      <c r="AA21" s="373">
        <f t="shared" si="4"/>
        <v>813.94624626899997</v>
      </c>
      <c r="AB21" s="577">
        <f t="shared" si="5"/>
        <v>-3.0537537310000289</v>
      </c>
      <c r="AC21" s="374">
        <f t="shared" si="6"/>
        <v>-3.7377646646267184E-3</v>
      </c>
      <c r="AD21" s="374">
        <f t="shared" si="7"/>
        <v>3.7377646646267184E-3</v>
      </c>
      <c r="AE21" s="373">
        <f t="shared" si="12"/>
        <v>817</v>
      </c>
      <c r="AF21" s="371">
        <f t="shared" si="8"/>
        <v>-3.0537537310000289</v>
      </c>
      <c r="AG21" s="374">
        <f t="shared" si="9"/>
        <v>-3.7377646646267184E-3</v>
      </c>
      <c r="AH21" s="374">
        <v>3.7377646646267184E-3</v>
      </c>
      <c r="AI21" s="372"/>
      <c r="AJ21" s="372"/>
      <c r="AK21" s="373">
        <f t="shared" si="10"/>
        <v>0</v>
      </c>
      <c r="AL21" s="373">
        <f t="shared" si="11"/>
        <v>817</v>
      </c>
    </row>
    <row r="22" spans="1:38">
      <c r="A22" s="563" t="s">
        <v>274</v>
      </c>
      <c r="B22" s="562" t="s">
        <v>324</v>
      </c>
      <c r="C22" s="562">
        <v>11</v>
      </c>
      <c r="D22" s="562">
        <v>11</v>
      </c>
      <c r="E22" s="562" t="s">
        <v>429</v>
      </c>
      <c r="F22" s="562" t="s">
        <v>430</v>
      </c>
      <c r="G22" s="562">
        <v>1.1001014316E+29</v>
      </c>
      <c r="H22" s="562" t="s">
        <v>327</v>
      </c>
      <c r="I22" s="562" t="s">
        <v>431</v>
      </c>
      <c r="J22" s="373">
        <v>826</v>
      </c>
      <c r="K22" s="373">
        <v>826.49</v>
      </c>
      <c r="L22" s="373">
        <v>1291.3900000000001</v>
      </c>
      <c r="M22" s="373">
        <f t="shared" si="1"/>
        <v>826.49</v>
      </c>
      <c r="N22" s="373">
        <f t="shared" si="2"/>
        <v>826.49</v>
      </c>
      <c r="O22" s="562">
        <v>6853011254330</v>
      </c>
      <c r="P22" s="562" t="s">
        <v>347</v>
      </c>
      <c r="Q22" s="527">
        <v>66</v>
      </c>
      <c r="R22" s="562" t="s">
        <v>432</v>
      </c>
      <c r="S22" s="562" t="s">
        <v>330</v>
      </c>
      <c r="T22" s="562" t="s">
        <v>433</v>
      </c>
      <c r="U22" s="562" t="s">
        <v>332</v>
      </c>
      <c r="V22" s="562" t="s">
        <v>434</v>
      </c>
      <c r="W22" s="562" t="s">
        <v>435</v>
      </c>
      <c r="X22" s="576">
        <v>820.30034432499997</v>
      </c>
      <c r="Y22" s="373"/>
      <c r="Z22" s="373">
        <f t="shared" si="3"/>
        <v>0</v>
      </c>
      <c r="AA22" s="373">
        <f t="shared" si="4"/>
        <v>820.30034432499997</v>
      </c>
      <c r="AB22" s="577">
        <f t="shared" si="5"/>
        <v>-6.18965567500004</v>
      </c>
      <c r="AC22" s="374">
        <f t="shared" si="6"/>
        <v>-7.4890871940374833E-3</v>
      </c>
      <c r="AD22" s="374">
        <f t="shared" si="7"/>
        <v>7.4890871940374833E-3</v>
      </c>
      <c r="AE22" s="373">
        <f t="shared" si="12"/>
        <v>826.49</v>
      </c>
      <c r="AF22" s="371">
        <f t="shared" si="8"/>
        <v>-6.18965567500004</v>
      </c>
      <c r="AG22" s="374">
        <f t="shared" si="9"/>
        <v>-7.4890871940374833E-3</v>
      </c>
      <c r="AH22" s="374">
        <v>7.4890871940374833E-3</v>
      </c>
      <c r="AI22" s="372"/>
      <c r="AJ22" s="372"/>
      <c r="AK22" s="373">
        <f t="shared" si="10"/>
        <v>0</v>
      </c>
      <c r="AL22" s="373">
        <f t="shared" si="11"/>
        <v>826.49</v>
      </c>
    </row>
    <row r="23" spans="1:38">
      <c r="A23" s="563" t="s">
        <v>280</v>
      </c>
      <c r="B23" s="562" t="s">
        <v>324</v>
      </c>
      <c r="C23" s="562">
        <v>4</v>
      </c>
      <c r="D23" s="562">
        <v>4</v>
      </c>
      <c r="E23" s="562" t="s">
        <v>436</v>
      </c>
      <c r="F23" s="562" t="s">
        <v>437</v>
      </c>
      <c r="G23" s="562">
        <v>1.1001E+29</v>
      </c>
      <c r="H23" s="562" t="s">
        <v>327</v>
      </c>
      <c r="I23" s="562" t="s">
        <v>438</v>
      </c>
      <c r="J23" s="373">
        <v>5295.8</v>
      </c>
      <c r="K23" s="373">
        <v>20650</v>
      </c>
      <c r="L23" s="373">
        <v>0</v>
      </c>
      <c r="M23" s="373">
        <f t="shared" si="1"/>
        <v>20650</v>
      </c>
      <c r="N23" s="373">
        <f t="shared" si="2"/>
        <v>20650</v>
      </c>
      <c r="O23" s="562">
        <v>6853010000000</v>
      </c>
      <c r="P23" s="562" t="s">
        <v>8</v>
      </c>
      <c r="Q23" s="527">
        <v>46</v>
      </c>
      <c r="R23" s="562" t="s">
        <v>439</v>
      </c>
      <c r="S23" s="562" t="s">
        <v>330</v>
      </c>
      <c r="T23" s="562" t="s">
        <v>349</v>
      </c>
      <c r="U23" s="562" t="s">
        <v>341</v>
      </c>
      <c r="V23" s="562" t="s">
        <v>440</v>
      </c>
      <c r="W23" s="562" t="s">
        <v>441</v>
      </c>
      <c r="X23" s="576">
        <v>20500.476625899999</v>
      </c>
      <c r="Y23" s="373"/>
      <c r="Z23" s="373">
        <f t="shared" si="3"/>
        <v>0</v>
      </c>
      <c r="AA23" s="373">
        <f t="shared" si="4"/>
        <v>20500.476625899999</v>
      </c>
      <c r="AB23" s="577">
        <f t="shared" si="5"/>
        <v>-149.52337410000109</v>
      </c>
      <c r="AC23" s="374">
        <f t="shared" si="6"/>
        <v>-7.2408413607748714E-3</v>
      </c>
      <c r="AD23" s="374">
        <f t="shared" si="7"/>
        <v>7.2408413607748714E-3</v>
      </c>
      <c r="AE23" s="373">
        <f t="shared" si="12"/>
        <v>20650</v>
      </c>
      <c r="AF23" s="371">
        <f t="shared" si="8"/>
        <v>-149.52337410000109</v>
      </c>
      <c r="AG23" s="374">
        <f t="shared" si="9"/>
        <v>-7.2408413607748714E-3</v>
      </c>
      <c r="AH23" s="374">
        <v>7.2408413607748714E-3</v>
      </c>
      <c r="AI23" s="372"/>
      <c r="AJ23" s="372"/>
      <c r="AK23" s="373">
        <f t="shared" si="10"/>
        <v>0</v>
      </c>
      <c r="AL23" s="373">
        <f t="shared" si="11"/>
        <v>20650</v>
      </c>
    </row>
    <row r="24" spans="1:38">
      <c r="A24" s="563" t="s">
        <v>269</v>
      </c>
      <c r="B24" s="562" t="s">
        <v>324</v>
      </c>
      <c r="C24" s="562">
        <v>17</v>
      </c>
      <c r="D24" s="562">
        <v>17</v>
      </c>
      <c r="E24" s="562" t="s">
        <v>442</v>
      </c>
      <c r="F24" s="562" t="s">
        <v>443</v>
      </c>
      <c r="G24" s="562">
        <v>1.1001E+29</v>
      </c>
      <c r="H24" s="562" t="s">
        <v>327</v>
      </c>
      <c r="I24" s="562" t="s">
        <v>444</v>
      </c>
      <c r="J24" s="373">
        <v>1024.7</v>
      </c>
      <c r="K24" s="373">
        <v>0</v>
      </c>
      <c r="L24" s="373">
        <v>1274.06</v>
      </c>
      <c r="M24" s="373">
        <f t="shared" si="1"/>
        <v>890.18572199999994</v>
      </c>
      <c r="N24" s="373">
        <f t="shared" si="2"/>
        <v>890.18572199999994</v>
      </c>
      <c r="O24" s="562">
        <v>6853010000000</v>
      </c>
      <c r="P24" s="562" t="s">
        <v>347</v>
      </c>
      <c r="Q24" s="527">
        <v>42</v>
      </c>
      <c r="R24" s="562" t="s">
        <v>445</v>
      </c>
      <c r="S24" s="562" t="s">
        <v>330</v>
      </c>
      <c r="T24" s="562" t="s">
        <v>417</v>
      </c>
      <c r="U24" s="562" t="s">
        <v>332</v>
      </c>
      <c r="V24" s="562" t="s">
        <v>446</v>
      </c>
      <c r="W24" s="562" t="s">
        <v>417</v>
      </c>
      <c r="X24" s="576">
        <v>812.35243710700001</v>
      </c>
      <c r="Y24" s="373"/>
      <c r="Z24" s="373">
        <f t="shared" si="3"/>
        <v>0</v>
      </c>
      <c r="AA24" s="373">
        <f t="shared" si="4"/>
        <v>812.35243710700001</v>
      </c>
      <c r="AB24" s="577">
        <f t="shared" si="5"/>
        <v>-77.833284892999927</v>
      </c>
      <c r="AC24" s="374">
        <f t="shared" si="6"/>
        <v>-8.7434883496142993E-2</v>
      </c>
      <c r="AD24" s="374">
        <f t="shared" si="7"/>
        <v>8.7434883496142993E-2</v>
      </c>
      <c r="AE24" s="373">
        <f t="shared" si="12"/>
        <v>890.18572199999994</v>
      </c>
      <c r="AF24" s="371">
        <f t="shared" si="8"/>
        <v>-77.833284892999927</v>
      </c>
      <c r="AG24" s="374">
        <f t="shared" si="9"/>
        <v>-8.7434883496142993E-2</v>
      </c>
      <c r="AH24" s="374">
        <v>8.7434883496142993E-2</v>
      </c>
      <c r="AI24" s="372"/>
      <c r="AJ24" s="372"/>
      <c r="AK24" s="373">
        <f t="shared" si="10"/>
        <v>0</v>
      </c>
      <c r="AL24" s="373">
        <f t="shared" si="11"/>
        <v>890.18572199999994</v>
      </c>
    </row>
    <row r="25" spans="1:38">
      <c r="A25" s="563" t="s">
        <v>265</v>
      </c>
      <c r="B25" s="562" t="s">
        <v>324</v>
      </c>
      <c r="C25" s="562">
        <v>20</v>
      </c>
      <c r="D25" s="562">
        <v>20</v>
      </c>
      <c r="E25" s="562" t="s">
        <v>447</v>
      </c>
      <c r="F25" s="562" t="s">
        <v>448</v>
      </c>
      <c r="G25" s="562">
        <v>1.1001E+29</v>
      </c>
      <c r="H25" s="562" t="s">
        <v>327</v>
      </c>
      <c r="I25" s="562" t="s">
        <v>449</v>
      </c>
      <c r="J25" s="373">
        <v>811</v>
      </c>
      <c r="K25" s="373">
        <v>0</v>
      </c>
      <c r="L25" s="373">
        <v>0</v>
      </c>
      <c r="M25" s="373">
        <f t="shared" si="1"/>
        <v>0</v>
      </c>
      <c r="N25" s="373">
        <f t="shared" si="2"/>
        <v>807.04813473599995</v>
      </c>
      <c r="O25" s="562">
        <v>6853010000000</v>
      </c>
      <c r="P25" s="562" t="s">
        <v>347</v>
      </c>
      <c r="Q25" s="527">
        <v>68</v>
      </c>
      <c r="R25" s="562" t="s">
        <v>450</v>
      </c>
      <c r="S25" s="562" t="s">
        <v>330</v>
      </c>
      <c r="T25" s="562" t="s">
        <v>349</v>
      </c>
      <c r="U25" s="562" t="s">
        <v>332</v>
      </c>
      <c r="V25" s="562" t="s">
        <v>451</v>
      </c>
      <c r="W25" s="562" t="s">
        <v>349</v>
      </c>
      <c r="X25" s="576">
        <v>807.04813473599995</v>
      </c>
      <c r="Y25" s="373"/>
      <c r="Z25" s="373">
        <f t="shared" si="3"/>
        <v>0</v>
      </c>
      <c r="AA25" s="373">
        <f t="shared" si="4"/>
        <v>807.04813473599995</v>
      </c>
      <c r="AB25" s="577">
        <f t="shared" si="5"/>
        <v>0</v>
      </c>
      <c r="AC25" s="374">
        <f t="shared" si="6"/>
        <v>0</v>
      </c>
      <c r="AD25" s="374">
        <f t="shared" si="7"/>
        <v>0</v>
      </c>
      <c r="AE25" s="373">
        <f t="shared" si="12"/>
        <v>807.04813473599995</v>
      </c>
      <c r="AF25" s="371">
        <f t="shared" si="8"/>
        <v>0</v>
      </c>
      <c r="AG25" s="374">
        <f t="shared" si="9"/>
        <v>0</v>
      </c>
      <c r="AH25" s="374">
        <v>0</v>
      </c>
      <c r="AI25" s="372"/>
      <c r="AJ25" s="372"/>
      <c r="AK25" s="373">
        <f t="shared" si="10"/>
        <v>0</v>
      </c>
      <c r="AL25" s="373">
        <f t="shared" si="11"/>
        <v>807.04813473599995</v>
      </c>
    </row>
    <row r="26" spans="1:38">
      <c r="A26" s="563" t="s">
        <v>281</v>
      </c>
      <c r="B26" s="562" t="s">
        <v>324</v>
      </c>
      <c r="C26" s="562">
        <v>8</v>
      </c>
      <c r="D26" s="562">
        <v>8</v>
      </c>
      <c r="E26" s="562" t="s">
        <v>452</v>
      </c>
      <c r="F26" s="562" t="s">
        <v>453</v>
      </c>
      <c r="G26" s="562">
        <v>1.1001E+29</v>
      </c>
      <c r="H26" s="562" t="s">
        <v>327</v>
      </c>
      <c r="I26" s="562" t="s">
        <v>454</v>
      </c>
      <c r="J26" s="373">
        <v>926.3</v>
      </c>
      <c r="K26" s="373">
        <v>831.27</v>
      </c>
      <c r="L26" s="373">
        <v>1298.8599999999999</v>
      </c>
      <c r="M26" s="373">
        <f t="shared" si="1"/>
        <v>831.27</v>
      </c>
      <c r="N26" s="373">
        <f t="shared" si="2"/>
        <v>831.27</v>
      </c>
      <c r="O26" s="562">
        <v>6853010000000</v>
      </c>
      <c r="P26" s="562" t="s">
        <v>8</v>
      </c>
      <c r="Q26" s="527">
        <v>64</v>
      </c>
      <c r="R26" s="562" t="s">
        <v>455</v>
      </c>
      <c r="S26" s="562" t="s">
        <v>330</v>
      </c>
      <c r="T26" s="562" t="s">
        <v>433</v>
      </c>
      <c r="U26" s="562" t="s">
        <v>332</v>
      </c>
      <c r="V26" s="562" t="s">
        <v>456</v>
      </c>
      <c r="W26" s="562"/>
      <c r="X26" s="576">
        <v>821.42511348200003</v>
      </c>
      <c r="Y26" s="373"/>
      <c r="Z26" s="373">
        <f t="shared" si="3"/>
        <v>0</v>
      </c>
      <c r="AA26" s="373">
        <f t="shared" si="4"/>
        <v>821.42511348200003</v>
      </c>
      <c r="AB26" s="577">
        <f t="shared" si="5"/>
        <v>-9.844886517999953</v>
      </c>
      <c r="AC26" s="374">
        <f t="shared" si="6"/>
        <v>-1.1843187553983607E-2</v>
      </c>
      <c r="AD26" s="374">
        <f t="shared" si="7"/>
        <v>1.1843187553983607E-2</v>
      </c>
      <c r="AE26" s="373">
        <f t="shared" si="12"/>
        <v>831.27</v>
      </c>
      <c r="AF26" s="371">
        <f t="shared" si="8"/>
        <v>-9.844886517999953</v>
      </c>
      <c r="AG26" s="374">
        <f t="shared" si="9"/>
        <v>-1.1843187553983607E-2</v>
      </c>
      <c r="AH26" s="374">
        <v>1.1843187553983607E-2</v>
      </c>
      <c r="AI26" s="372"/>
      <c r="AJ26" s="372"/>
      <c r="AK26" s="373">
        <f t="shared" si="10"/>
        <v>0</v>
      </c>
      <c r="AL26" s="373">
        <f t="shared" si="11"/>
        <v>831.27</v>
      </c>
    </row>
    <row r="27" spans="1:38">
      <c r="A27" s="563" t="s">
        <v>457</v>
      </c>
      <c r="B27" s="562" t="s">
        <v>324</v>
      </c>
      <c r="C27" s="562">
        <v>23</v>
      </c>
      <c r="D27" s="562">
        <v>2</v>
      </c>
      <c r="E27" s="562" t="s">
        <v>458</v>
      </c>
      <c r="F27" s="562" t="s">
        <v>459</v>
      </c>
      <c r="G27" s="562">
        <v>1.1001014316E+29</v>
      </c>
      <c r="H27" s="562" t="s">
        <v>327</v>
      </c>
      <c r="I27" s="562" t="s">
        <v>460</v>
      </c>
      <c r="J27" s="373">
        <v>0</v>
      </c>
      <c r="K27" s="373">
        <v>0</v>
      </c>
      <c r="L27" s="373">
        <v>0</v>
      </c>
      <c r="M27" s="373">
        <f t="shared" si="1"/>
        <v>0</v>
      </c>
      <c r="N27" s="373">
        <f t="shared" si="2"/>
        <v>3264.0751468600001</v>
      </c>
      <c r="O27" s="562">
        <v>6853015153250</v>
      </c>
      <c r="P27" s="562" t="s">
        <v>461</v>
      </c>
      <c r="Q27" s="527">
        <v>-1</v>
      </c>
      <c r="R27" s="562" t="s">
        <v>462</v>
      </c>
      <c r="S27" s="562" t="s">
        <v>330</v>
      </c>
      <c r="T27" s="562"/>
      <c r="U27" s="562" t="s">
        <v>341</v>
      </c>
      <c r="V27" s="562" t="s">
        <v>463</v>
      </c>
      <c r="W27" s="562" t="s">
        <v>464</v>
      </c>
      <c r="X27" s="576">
        <v>3264.0751468600001</v>
      </c>
      <c r="Y27" s="373" t="s">
        <v>71</v>
      </c>
      <c r="Z27" s="373">
        <f t="shared" si="3"/>
        <v>3264.0751468600001</v>
      </c>
      <c r="AA27" s="373">
        <f t="shared" si="4"/>
        <v>0</v>
      </c>
      <c r="AB27" s="577">
        <f t="shared" si="5"/>
        <v>0</v>
      </c>
      <c r="AC27" s="374">
        <f t="shared" si="6"/>
        <v>0</v>
      </c>
      <c r="AD27" s="374">
        <f t="shared" si="7"/>
        <v>0</v>
      </c>
      <c r="AE27" s="578">
        <f t="shared" si="12"/>
        <v>3264.0751468600001</v>
      </c>
      <c r="AF27" s="371">
        <f t="shared" si="8"/>
        <v>0</v>
      </c>
      <c r="AG27" s="374">
        <f t="shared" si="9"/>
        <v>0</v>
      </c>
      <c r="AH27" s="374">
        <v>0</v>
      </c>
      <c r="AI27" s="372" t="s">
        <v>465</v>
      </c>
      <c r="AJ27" s="372" t="s">
        <v>71</v>
      </c>
      <c r="AK27" s="373">
        <f t="shared" si="10"/>
        <v>3264.0751468600001</v>
      </c>
      <c r="AL27" s="373">
        <f t="shared" si="11"/>
        <v>0</v>
      </c>
    </row>
    <row r="28" spans="1:38">
      <c r="A28" s="563" t="s">
        <v>286</v>
      </c>
      <c r="B28" s="562" t="s">
        <v>324</v>
      </c>
      <c r="C28" s="562">
        <v>22</v>
      </c>
      <c r="D28" s="562">
        <v>22</v>
      </c>
      <c r="E28" s="562" t="s">
        <v>466</v>
      </c>
      <c r="F28" s="562" t="s">
        <v>467</v>
      </c>
      <c r="G28" s="562">
        <v>1.1001E+29</v>
      </c>
      <c r="H28" s="562" t="s">
        <v>327</v>
      </c>
      <c r="I28" s="562" t="s">
        <v>468</v>
      </c>
      <c r="J28" s="373">
        <v>30513</v>
      </c>
      <c r="K28" s="373">
        <v>35132.5</v>
      </c>
      <c r="L28" s="373">
        <v>0</v>
      </c>
      <c r="M28" s="373">
        <f t="shared" si="1"/>
        <v>35132.5</v>
      </c>
      <c r="N28" s="373">
        <f t="shared" si="2"/>
        <v>35132.5</v>
      </c>
      <c r="O28" s="562">
        <v>6853010000000</v>
      </c>
      <c r="P28" s="562" t="s">
        <v>8</v>
      </c>
      <c r="Q28" s="527">
        <v>85</v>
      </c>
      <c r="R28" s="562" t="s">
        <v>469</v>
      </c>
      <c r="S28" s="562" t="s">
        <v>330</v>
      </c>
      <c r="T28" s="562" t="s">
        <v>470</v>
      </c>
      <c r="U28" s="562" t="s">
        <v>332</v>
      </c>
      <c r="V28" s="562" t="s">
        <v>471</v>
      </c>
      <c r="W28" s="562" t="s">
        <v>470</v>
      </c>
      <c r="X28" s="576">
        <v>34925.945405899998</v>
      </c>
      <c r="Y28" s="373"/>
      <c r="Z28" s="373">
        <f t="shared" si="3"/>
        <v>0</v>
      </c>
      <c r="AA28" s="373">
        <f t="shared" si="4"/>
        <v>34925.945405899998</v>
      </c>
      <c r="AB28" s="577">
        <f t="shared" si="5"/>
        <v>-206.55459410000185</v>
      </c>
      <c r="AC28" s="374">
        <f t="shared" si="6"/>
        <v>-5.8793024720700734E-3</v>
      </c>
      <c r="AD28" s="374">
        <f t="shared" si="7"/>
        <v>5.8793024720700734E-3</v>
      </c>
      <c r="AE28" s="373">
        <f t="shared" si="12"/>
        <v>35132.5</v>
      </c>
      <c r="AF28" s="371">
        <f t="shared" si="8"/>
        <v>-206.55459410000185</v>
      </c>
      <c r="AG28" s="374">
        <f t="shared" si="9"/>
        <v>-5.8793024720700734E-3</v>
      </c>
      <c r="AH28" s="374">
        <v>5.8793024720700734E-3</v>
      </c>
      <c r="AI28" s="372"/>
      <c r="AJ28" s="372"/>
      <c r="AK28" s="373">
        <f t="shared" si="10"/>
        <v>0</v>
      </c>
      <c r="AL28" s="373">
        <f t="shared" si="11"/>
        <v>35132.5</v>
      </c>
    </row>
    <row r="29" spans="1:38">
      <c r="A29" s="563" t="s">
        <v>472</v>
      </c>
      <c r="B29" s="562" t="s">
        <v>324</v>
      </c>
      <c r="C29" s="562">
        <v>25</v>
      </c>
      <c r="D29" s="562">
        <v>25</v>
      </c>
      <c r="E29" s="562" t="s">
        <v>473</v>
      </c>
      <c r="F29" s="562" t="s">
        <v>474</v>
      </c>
      <c r="G29" s="562">
        <v>1.1001014316E+29</v>
      </c>
      <c r="H29" s="562" t="s">
        <v>327</v>
      </c>
      <c r="I29" s="562" t="s">
        <v>475</v>
      </c>
      <c r="J29" s="373">
        <v>0</v>
      </c>
      <c r="K29" s="373">
        <v>0</v>
      </c>
      <c r="L29" s="373">
        <v>0</v>
      </c>
      <c r="M29" s="373">
        <f t="shared" si="1"/>
        <v>0</v>
      </c>
      <c r="N29" s="373">
        <f t="shared" si="2"/>
        <v>729.40739993399995</v>
      </c>
      <c r="O29" s="562">
        <v>6853015153350</v>
      </c>
      <c r="P29" s="562" t="s">
        <v>461</v>
      </c>
      <c r="Q29" s="527">
        <v>-1</v>
      </c>
      <c r="R29" s="562"/>
      <c r="S29" s="562"/>
      <c r="T29" s="562" t="s">
        <v>476</v>
      </c>
      <c r="U29" s="562" t="s">
        <v>332</v>
      </c>
      <c r="V29" s="562"/>
      <c r="W29" s="562"/>
      <c r="X29" s="576">
        <v>729.40739993399995</v>
      </c>
      <c r="Y29" s="373" t="s">
        <v>71</v>
      </c>
      <c r="Z29" s="373">
        <f t="shared" si="3"/>
        <v>729.40739993399995</v>
      </c>
      <c r="AA29" s="373">
        <f t="shared" si="4"/>
        <v>0</v>
      </c>
      <c r="AB29" s="577">
        <f t="shared" si="5"/>
        <v>0</v>
      </c>
      <c r="AC29" s="374">
        <f t="shared" si="6"/>
        <v>0</v>
      </c>
      <c r="AD29" s="374">
        <f t="shared" si="7"/>
        <v>0</v>
      </c>
      <c r="AE29" s="579">
        <f t="shared" si="12"/>
        <v>729.40739993399995</v>
      </c>
      <c r="AF29" s="371">
        <f t="shared" si="8"/>
        <v>0</v>
      </c>
      <c r="AG29" s="374">
        <f t="shared" si="9"/>
        <v>0</v>
      </c>
      <c r="AH29" s="374">
        <v>0</v>
      </c>
      <c r="AI29" s="372" t="s">
        <v>465</v>
      </c>
      <c r="AJ29" s="372" t="s">
        <v>71</v>
      </c>
      <c r="AK29" s="373">
        <f t="shared" si="10"/>
        <v>729.40739993399995</v>
      </c>
      <c r="AL29" s="373">
        <f t="shared" si="11"/>
        <v>0</v>
      </c>
    </row>
    <row r="30" spans="1:38">
      <c r="A30" s="563" t="s">
        <v>287</v>
      </c>
      <c r="B30" s="562" t="s">
        <v>324</v>
      </c>
      <c r="C30" s="562">
        <v>27</v>
      </c>
      <c r="D30" s="562">
        <v>27</v>
      </c>
      <c r="E30" s="562" t="s">
        <v>477</v>
      </c>
      <c r="F30" s="562" t="s">
        <v>478</v>
      </c>
      <c r="G30" s="562">
        <v>1.1001E+29</v>
      </c>
      <c r="H30" s="562" t="s">
        <v>327</v>
      </c>
      <c r="I30" s="562" t="s">
        <v>479</v>
      </c>
      <c r="J30" s="373">
        <v>5521.3</v>
      </c>
      <c r="K30" s="373">
        <v>8780</v>
      </c>
      <c r="L30" s="373">
        <v>0</v>
      </c>
      <c r="M30" s="373">
        <f t="shared" si="1"/>
        <v>8780</v>
      </c>
      <c r="N30" s="373">
        <f t="shared" si="2"/>
        <v>8780</v>
      </c>
      <c r="O30" s="562">
        <v>6853010000000</v>
      </c>
      <c r="P30" s="562" t="s">
        <v>347</v>
      </c>
      <c r="Q30" s="527">
        <v>49</v>
      </c>
      <c r="R30" s="562" t="s">
        <v>480</v>
      </c>
      <c r="S30" s="562" t="s">
        <v>330</v>
      </c>
      <c r="T30" s="562" t="s">
        <v>470</v>
      </c>
      <c r="U30" s="562" t="s">
        <v>332</v>
      </c>
      <c r="V30" s="562" t="s">
        <v>481</v>
      </c>
      <c r="W30" s="562" t="s">
        <v>470</v>
      </c>
      <c r="X30" s="576">
        <v>8572.1148873700004</v>
      </c>
      <c r="Y30" s="373"/>
      <c r="Z30" s="373">
        <f t="shared" si="3"/>
        <v>0</v>
      </c>
      <c r="AA30" s="373">
        <f t="shared" si="4"/>
        <v>8572.1148873700004</v>
      </c>
      <c r="AB30" s="577">
        <f t="shared" si="5"/>
        <v>-207.88511262999964</v>
      </c>
      <c r="AC30" s="374">
        <f t="shared" si="6"/>
        <v>-2.3677119889521599E-2</v>
      </c>
      <c r="AD30" s="374">
        <f t="shared" si="7"/>
        <v>2.3677119889521599E-2</v>
      </c>
      <c r="AE30" s="373">
        <f t="shared" si="12"/>
        <v>8780</v>
      </c>
      <c r="AF30" s="371">
        <f t="shared" si="8"/>
        <v>-207.88511262999964</v>
      </c>
      <c r="AG30" s="374">
        <f t="shared" si="9"/>
        <v>-2.3677119889521599E-2</v>
      </c>
      <c r="AH30" s="374">
        <v>2.3677119889521599E-2</v>
      </c>
      <c r="AI30" s="372"/>
      <c r="AJ30" s="372"/>
      <c r="AK30" s="373">
        <f t="shared" si="10"/>
        <v>0</v>
      </c>
      <c r="AL30" s="373">
        <f t="shared" si="11"/>
        <v>8780</v>
      </c>
    </row>
    <row r="31" spans="1:38">
      <c r="A31" s="563" t="s">
        <v>482</v>
      </c>
      <c r="B31" s="562" t="s">
        <v>324</v>
      </c>
      <c r="C31" s="562">
        <v>28</v>
      </c>
      <c r="D31" s="562">
        <v>1</v>
      </c>
      <c r="E31" s="562" t="s">
        <v>483</v>
      </c>
      <c r="F31" s="562" t="s">
        <v>484</v>
      </c>
      <c r="G31" s="562">
        <v>1.1001014316E+29</v>
      </c>
      <c r="H31" s="562" t="s">
        <v>485</v>
      </c>
      <c r="I31" s="562" t="s">
        <v>486</v>
      </c>
      <c r="J31" s="373">
        <v>0</v>
      </c>
      <c r="K31" s="373">
        <v>1766.05</v>
      </c>
      <c r="L31" s="373">
        <v>0</v>
      </c>
      <c r="M31" s="373">
        <f t="shared" si="1"/>
        <v>1766.05</v>
      </c>
      <c r="N31" s="373">
        <f t="shared" si="2"/>
        <v>1766.05</v>
      </c>
      <c r="O31" s="562">
        <v>6853015153250</v>
      </c>
      <c r="P31" s="562" t="s">
        <v>461</v>
      </c>
      <c r="Q31" s="527">
        <v>-1</v>
      </c>
      <c r="R31" s="562" t="s">
        <v>487</v>
      </c>
      <c r="S31" s="562" t="s">
        <v>488</v>
      </c>
      <c r="T31" s="562"/>
      <c r="U31" s="562" t="s">
        <v>341</v>
      </c>
      <c r="V31" s="562" t="s">
        <v>489</v>
      </c>
      <c r="W31" s="562" t="s">
        <v>490</v>
      </c>
      <c r="X31" s="576">
        <v>2174.0348137599999</v>
      </c>
      <c r="Y31" s="373" t="s">
        <v>71</v>
      </c>
      <c r="Z31" s="373">
        <f t="shared" si="3"/>
        <v>2174.0348137599999</v>
      </c>
      <c r="AA31" s="373">
        <f t="shared" si="4"/>
        <v>0</v>
      </c>
      <c r="AB31" s="577">
        <f t="shared" si="5"/>
        <v>407.98481375999995</v>
      </c>
      <c r="AC31" s="374">
        <f t="shared" si="6"/>
        <v>0.2310154377056142</v>
      </c>
      <c r="AD31" s="374">
        <f t="shared" si="7"/>
        <v>0.2310154377056142</v>
      </c>
      <c r="AE31" s="579">
        <f t="shared" si="12"/>
        <v>2174.0348137599999</v>
      </c>
      <c r="AF31" s="371">
        <f t="shared" si="8"/>
        <v>0</v>
      </c>
      <c r="AG31" s="374">
        <f t="shared" si="9"/>
        <v>0</v>
      </c>
      <c r="AH31" s="374">
        <v>0</v>
      </c>
      <c r="AI31" s="372" t="s">
        <v>465</v>
      </c>
      <c r="AJ31" s="372" t="s">
        <v>71</v>
      </c>
      <c r="AK31" s="373">
        <f t="shared" si="10"/>
        <v>2174.0348137599999</v>
      </c>
      <c r="AL31" s="373">
        <f t="shared" si="11"/>
        <v>0</v>
      </c>
    </row>
    <row r="32" spans="1:38">
      <c r="A32" s="563" t="s">
        <v>288</v>
      </c>
      <c r="B32" s="562" t="s">
        <v>324</v>
      </c>
      <c r="C32" s="562">
        <v>31</v>
      </c>
      <c r="D32" s="562">
        <v>31</v>
      </c>
      <c r="E32" s="562" t="s">
        <v>491</v>
      </c>
      <c r="F32" s="562" t="s">
        <v>492</v>
      </c>
      <c r="G32" s="562">
        <v>1.1001E+29</v>
      </c>
      <c r="H32" s="562" t="s">
        <v>327</v>
      </c>
      <c r="I32" s="562" t="s">
        <v>493</v>
      </c>
      <c r="J32" s="373">
        <v>27734.6</v>
      </c>
      <c r="K32" s="373">
        <v>14401.49</v>
      </c>
      <c r="L32" s="373">
        <v>0</v>
      </c>
      <c r="M32" s="373">
        <f t="shared" si="1"/>
        <v>14401.49</v>
      </c>
      <c r="N32" s="373">
        <f t="shared" si="2"/>
        <v>14401.49</v>
      </c>
      <c r="O32" s="562">
        <v>6853010000000</v>
      </c>
      <c r="P32" s="562" t="s">
        <v>494</v>
      </c>
      <c r="Q32" s="527">
        <v>79</v>
      </c>
      <c r="R32" s="562" t="s">
        <v>495</v>
      </c>
      <c r="S32" s="562" t="s">
        <v>330</v>
      </c>
      <c r="T32" s="562" t="s">
        <v>496</v>
      </c>
      <c r="U32" s="562" t="s">
        <v>332</v>
      </c>
      <c r="V32" s="562" t="s">
        <v>497</v>
      </c>
      <c r="W32" s="562" t="s">
        <v>498</v>
      </c>
      <c r="X32" s="576">
        <v>14752.6990159</v>
      </c>
      <c r="Y32" s="373"/>
      <c r="Z32" s="373">
        <f t="shared" si="3"/>
        <v>0</v>
      </c>
      <c r="AA32" s="373">
        <f t="shared" si="4"/>
        <v>14752.6990159</v>
      </c>
      <c r="AB32" s="577">
        <f t="shared" si="5"/>
        <v>351.20901589999994</v>
      </c>
      <c r="AC32" s="374">
        <f t="shared" si="6"/>
        <v>2.4386991616839642E-2</v>
      </c>
      <c r="AD32" s="374">
        <f t="shared" si="7"/>
        <v>2.4386991616839642E-2</v>
      </c>
      <c r="AE32" s="373">
        <f t="shared" si="12"/>
        <v>14401.49</v>
      </c>
      <c r="AF32" s="371">
        <f t="shared" si="8"/>
        <v>351.20901589999994</v>
      </c>
      <c r="AG32" s="374">
        <f t="shared" si="9"/>
        <v>2.4386991616839642E-2</v>
      </c>
      <c r="AH32" s="374">
        <v>2.4386991616839642E-2</v>
      </c>
      <c r="AI32" s="372" t="s">
        <v>499</v>
      </c>
      <c r="AJ32" s="372"/>
      <c r="AK32" s="373">
        <f t="shared" si="10"/>
        <v>0</v>
      </c>
      <c r="AL32" s="373">
        <f t="shared" si="11"/>
        <v>14401.49</v>
      </c>
    </row>
    <row r="34" spans="38:38">
      <c r="AL34" s="246">
        <v>164772.92625047301</v>
      </c>
    </row>
  </sheetData>
  <autoFilter ref="A4:AH4" xr:uid="{6A5D9E54-3A10-4F33-A977-1F6C288DA609}"/>
  <mergeCells count="5">
    <mergeCell ref="AJ2:AK2"/>
    <mergeCell ref="AE1:AL1"/>
    <mergeCell ref="X1:AD1"/>
    <mergeCell ref="A1:J1"/>
    <mergeCell ref="K1:V1"/>
  </mergeCells>
  <conditionalFormatting sqref="AD5:AD32 AH5:AH32">
    <cfRule type="cellIs" dxfId="11" priority="2" operator="greaterThan">
      <formula>0.1</formula>
    </cfRule>
  </conditionalFormatting>
  <pageMargins left="0.7" right="0.7" top="0.75" bottom="0.75" header="0.3" footer="0.3"/>
  <ignoredErrors>
    <ignoredError sqref="F3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7E06F-6064-4BE0-A6BB-0E2922864D34}">
  <dimension ref="A1:AX12"/>
  <sheetViews>
    <sheetView topLeftCell="T1" zoomScale="130" zoomScaleNormal="130" workbookViewId="0">
      <selection activeCell="I2" sqref="I1:AO1048576"/>
    </sheetView>
  </sheetViews>
  <sheetFormatPr defaultColWidth="8.75" defaultRowHeight="13.15"/>
  <cols>
    <col min="1" max="1" width="4.375" style="588" bestFit="1" customWidth="1"/>
    <col min="2" max="2" width="6.75" style="588" bestFit="1" customWidth="1"/>
    <col min="3" max="3" width="9.875" style="586" bestFit="1" customWidth="1"/>
    <col min="4" max="4" width="9.125" style="586" bestFit="1" customWidth="1"/>
    <col min="5" max="5" width="11.75" style="586" bestFit="1" customWidth="1"/>
    <col min="6" max="41" width="8.875" style="588" bestFit="1" customWidth="1"/>
    <col min="42" max="50" width="8" style="588" bestFit="1" customWidth="1"/>
    <col min="51" max="16384" width="8.75" style="586"/>
  </cols>
  <sheetData>
    <row r="1" spans="1:50" ht="15" customHeight="1">
      <c r="A1" s="1518" t="s">
        <v>247</v>
      </c>
      <c r="B1" s="1518" t="s">
        <v>500</v>
      </c>
      <c r="C1" s="1518"/>
      <c r="D1" s="1518"/>
      <c r="E1" s="1518"/>
      <c r="F1" s="1518"/>
      <c r="G1" s="1518"/>
      <c r="H1" s="1518"/>
      <c r="I1" s="1518"/>
      <c r="J1" s="1518"/>
      <c r="K1" s="1518"/>
      <c r="L1" s="1518"/>
      <c r="M1" s="1518"/>
      <c r="N1" s="1518"/>
      <c r="O1" s="1518"/>
      <c r="P1" s="1518"/>
      <c r="Q1" s="1518"/>
      <c r="R1" s="1518"/>
      <c r="S1" s="1518"/>
      <c r="T1" s="1518"/>
      <c r="U1" s="1518"/>
      <c r="V1" s="1518"/>
      <c r="W1" s="1518"/>
      <c r="X1" s="1518"/>
      <c r="Y1" s="1518"/>
      <c r="Z1" s="1518"/>
      <c r="AA1" s="1518"/>
      <c r="AB1" s="1518"/>
      <c r="AC1" s="1518"/>
      <c r="AD1" s="1518"/>
      <c r="AE1" s="1518"/>
      <c r="AF1" s="1518"/>
      <c r="AG1" s="1518"/>
      <c r="AH1" s="1518"/>
      <c r="AI1" s="1518"/>
      <c r="AJ1" s="1518"/>
      <c r="AK1" s="1518"/>
      <c r="AL1" s="1518"/>
      <c r="AM1" s="1518"/>
      <c r="AN1" s="1518"/>
      <c r="AO1" s="1518"/>
      <c r="AP1" s="1518"/>
      <c r="AQ1" s="1518"/>
      <c r="AR1" s="1518"/>
      <c r="AS1" s="1518"/>
      <c r="AT1" s="1518"/>
      <c r="AU1" s="1518"/>
      <c r="AV1" s="1518"/>
      <c r="AW1" s="1518"/>
      <c r="AX1" s="1518"/>
    </row>
    <row r="2" spans="1:50" s="587" customFormat="1">
      <c r="A2" s="1518"/>
      <c r="B2" s="614" t="s">
        <v>501</v>
      </c>
      <c r="C2" s="614" t="s">
        <v>502</v>
      </c>
      <c r="D2" s="614" t="s">
        <v>503</v>
      </c>
      <c r="E2" s="614"/>
      <c r="F2" s="614">
        <v>1</v>
      </c>
      <c r="G2" s="614">
        <v>2</v>
      </c>
      <c r="H2" s="614">
        <v>3</v>
      </c>
      <c r="I2" s="614">
        <v>4</v>
      </c>
      <c r="J2" s="614">
        <v>5</v>
      </c>
      <c r="K2" s="614">
        <v>6</v>
      </c>
      <c r="L2" s="614">
        <v>7</v>
      </c>
      <c r="M2" s="614">
        <v>8</v>
      </c>
      <c r="N2" s="614">
        <v>9</v>
      </c>
      <c r="O2" s="614">
        <v>10</v>
      </c>
      <c r="P2" s="614">
        <v>11</v>
      </c>
      <c r="Q2" s="614">
        <v>12</v>
      </c>
      <c r="R2" s="614">
        <v>13</v>
      </c>
      <c r="S2" s="614">
        <v>14</v>
      </c>
      <c r="T2" s="614">
        <v>15</v>
      </c>
      <c r="U2" s="614">
        <v>16</v>
      </c>
      <c r="V2" s="614">
        <v>17</v>
      </c>
      <c r="W2" s="614">
        <v>18</v>
      </c>
      <c r="X2" s="614">
        <v>19</v>
      </c>
      <c r="Y2" s="614">
        <v>20</v>
      </c>
      <c r="Z2" s="614">
        <v>21</v>
      </c>
      <c r="AA2" s="614">
        <v>22</v>
      </c>
      <c r="AB2" s="614">
        <v>23</v>
      </c>
      <c r="AC2" s="614">
        <v>24</v>
      </c>
      <c r="AD2" s="614">
        <v>25</v>
      </c>
      <c r="AE2" s="614">
        <v>26</v>
      </c>
      <c r="AF2" s="614">
        <v>27</v>
      </c>
      <c r="AG2" s="614">
        <v>28</v>
      </c>
      <c r="AH2" s="614">
        <v>29</v>
      </c>
      <c r="AI2" s="614">
        <v>30</v>
      </c>
      <c r="AJ2" s="614">
        <v>31</v>
      </c>
      <c r="AK2" s="614">
        <v>32</v>
      </c>
      <c r="AL2" s="614">
        <v>33</v>
      </c>
      <c r="AM2" s="614">
        <v>34</v>
      </c>
      <c r="AN2" s="614">
        <v>35</v>
      </c>
      <c r="AO2" s="614">
        <v>36</v>
      </c>
      <c r="AP2" s="614">
        <v>37</v>
      </c>
      <c r="AQ2" s="614">
        <v>38</v>
      </c>
      <c r="AR2" s="614">
        <v>39</v>
      </c>
      <c r="AS2" s="614">
        <v>40</v>
      </c>
      <c r="AT2" s="614">
        <v>41</v>
      </c>
      <c r="AU2" s="614">
        <v>42</v>
      </c>
      <c r="AV2" s="614">
        <v>43</v>
      </c>
      <c r="AW2" s="614">
        <v>44</v>
      </c>
      <c r="AX2" s="614">
        <v>45</v>
      </c>
    </row>
    <row r="3" spans="1:50">
      <c r="A3" s="580"/>
      <c r="B3" s="580"/>
      <c r="C3" s="581"/>
      <c r="D3" s="581"/>
      <c r="E3" s="581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580"/>
      <c r="T3" s="580"/>
      <c r="U3" s="580"/>
      <c r="V3" s="580"/>
      <c r="W3" s="580"/>
      <c r="X3" s="580"/>
      <c r="Y3" s="580"/>
      <c r="Z3" s="580"/>
      <c r="AA3" s="580"/>
      <c r="AB3" s="580"/>
      <c r="AC3" s="580"/>
      <c r="AD3" s="580"/>
      <c r="AE3" s="580"/>
      <c r="AF3" s="580"/>
      <c r="AG3" s="580"/>
      <c r="AH3" s="580"/>
      <c r="AI3" s="580"/>
      <c r="AJ3" s="580"/>
      <c r="AK3" s="580"/>
      <c r="AL3" s="580"/>
      <c r="AM3" s="580"/>
      <c r="AN3" s="580"/>
      <c r="AO3" s="580"/>
      <c r="AP3" s="580"/>
      <c r="AQ3" s="580"/>
      <c r="AR3" s="580"/>
      <c r="AS3" s="580"/>
      <c r="AT3" s="580"/>
      <c r="AU3" s="580"/>
      <c r="AV3" s="580"/>
      <c r="AW3" s="580"/>
      <c r="AX3" s="580"/>
    </row>
    <row r="4" spans="1:50">
      <c r="A4" s="580"/>
      <c r="B4" s="582"/>
      <c r="C4" s="583"/>
      <c r="D4" s="583"/>
      <c r="E4" s="584">
        <f>SUM(E5:E12)</f>
        <v>1876201.369200035</v>
      </c>
      <c r="F4" s="584">
        <f t="shared" ref="F4:AX4" si="0">SUM(F5:F12)</f>
        <v>43948.044250916901</v>
      </c>
      <c r="G4" s="584">
        <f t="shared" si="0"/>
        <v>47605.812585712854</v>
      </c>
      <c r="H4" s="584">
        <f t="shared" si="0"/>
        <v>47605.812585712854</v>
      </c>
      <c r="I4" s="584">
        <f t="shared" si="0"/>
        <v>47605.812585712854</v>
      </c>
      <c r="J4" s="584">
        <f t="shared" si="0"/>
        <v>41725.811882550654</v>
      </c>
      <c r="K4" s="584">
        <f t="shared" si="0"/>
        <v>41725.811882550654</v>
      </c>
      <c r="L4" s="584">
        <f t="shared" si="0"/>
        <v>41725.811882550654</v>
      </c>
      <c r="M4" s="584">
        <f t="shared" si="0"/>
        <v>41725.811882550654</v>
      </c>
      <c r="N4" s="584">
        <f t="shared" si="0"/>
        <v>41725.811882550654</v>
      </c>
      <c r="O4" s="584">
        <f t="shared" si="0"/>
        <v>41725.811882550654</v>
      </c>
      <c r="P4" s="584">
        <f t="shared" si="0"/>
        <v>41725.811882550654</v>
      </c>
      <c r="Q4" s="584">
        <f t="shared" si="0"/>
        <v>41725.811882550654</v>
      </c>
      <c r="R4" s="584">
        <f t="shared" si="0"/>
        <v>41725.811882550654</v>
      </c>
      <c r="S4" s="584">
        <f t="shared" si="0"/>
        <v>41725.811882550654</v>
      </c>
      <c r="T4" s="584">
        <f t="shared" si="0"/>
        <v>41725.811882550654</v>
      </c>
      <c r="U4" s="584">
        <f t="shared" si="0"/>
        <v>41725.811882550654</v>
      </c>
      <c r="V4" s="584">
        <f t="shared" si="0"/>
        <v>41725.811882550654</v>
      </c>
      <c r="W4" s="584">
        <f t="shared" si="0"/>
        <v>41725.811882550654</v>
      </c>
      <c r="X4" s="584">
        <f t="shared" si="0"/>
        <v>41725.811882550654</v>
      </c>
      <c r="Y4" s="584">
        <f t="shared" si="0"/>
        <v>41725.811882550654</v>
      </c>
      <c r="Z4" s="584">
        <f t="shared" si="0"/>
        <v>41725.811882550654</v>
      </c>
      <c r="AA4" s="584">
        <f t="shared" si="0"/>
        <v>41725.811882550654</v>
      </c>
      <c r="AB4" s="584">
        <f t="shared" si="0"/>
        <v>41725.811882550654</v>
      </c>
      <c r="AC4" s="584">
        <f t="shared" si="0"/>
        <v>41725.811882550654</v>
      </c>
      <c r="AD4" s="584">
        <f t="shared" si="0"/>
        <v>41725.811882550654</v>
      </c>
      <c r="AE4" s="584">
        <f t="shared" si="0"/>
        <v>41725.811882550654</v>
      </c>
      <c r="AF4" s="584">
        <f t="shared" si="0"/>
        <v>41725.811882550654</v>
      </c>
      <c r="AG4" s="584">
        <f t="shared" si="0"/>
        <v>41725.811882550654</v>
      </c>
      <c r="AH4" s="584">
        <f t="shared" si="0"/>
        <v>41725.811882550654</v>
      </c>
      <c r="AI4" s="584">
        <f t="shared" si="0"/>
        <v>41725.811882550654</v>
      </c>
      <c r="AJ4" s="584">
        <f t="shared" si="0"/>
        <v>41725.811882550654</v>
      </c>
      <c r="AK4" s="584">
        <f t="shared" si="0"/>
        <v>41725.811882550654</v>
      </c>
      <c r="AL4" s="584">
        <f t="shared" si="0"/>
        <v>41725.811882550654</v>
      </c>
      <c r="AM4" s="584">
        <f t="shared" si="0"/>
        <v>41725.811882550654</v>
      </c>
      <c r="AN4" s="584">
        <f t="shared" si="0"/>
        <v>41725.811882550654</v>
      </c>
      <c r="AO4" s="584">
        <f t="shared" si="0"/>
        <v>41725.811882550654</v>
      </c>
      <c r="AP4" s="584">
        <f t="shared" si="0"/>
        <v>20403.41188995347</v>
      </c>
      <c r="AQ4" s="584">
        <f t="shared" si="0"/>
        <v>41725.811882550654</v>
      </c>
      <c r="AR4" s="584">
        <f t="shared" si="0"/>
        <v>41725.811882550654</v>
      </c>
      <c r="AS4" s="584">
        <f t="shared" si="0"/>
        <v>41725.811882550654</v>
      </c>
      <c r="AT4" s="584">
        <f t="shared" si="0"/>
        <v>41725.811882550654</v>
      </c>
      <c r="AU4" s="584">
        <f t="shared" si="0"/>
        <v>41725.811882550654</v>
      </c>
      <c r="AV4" s="584">
        <f t="shared" si="0"/>
        <v>41725.811882550654</v>
      </c>
      <c r="AW4" s="584">
        <f t="shared" si="0"/>
        <v>41725.811882550654</v>
      </c>
      <c r="AX4" s="584">
        <f t="shared" si="0"/>
        <v>41725.811882550654</v>
      </c>
    </row>
    <row r="5" spans="1:50">
      <c r="A5" s="580">
        <v>1</v>
      </c>
      <c r="B5" s="585">
        <f>'07b_ATC_Ajuste'!C5</f>
        <v>2921.1364674728761</v>
      </c>
      <c r="C5" s="585">
        <f>'07b_ATC_Ajuste'!G5</f>
        <v>3295.2540748366109</v>
      </c>
      <c r="D5" s="585">
        <f>'07b_ATC_Ajuste'!I5</f>
        <v>3016.8704098262097</v>
      </c>
      <c r="E5" s="582">
        <f>SUM(F5:AX5)</f>
        <v>133481.71508503112</v>
      </c>
      <c r="F5" s="585">
        <f>B5</f>
        <v>2921.1364674728761</v>
      </c>
      <c r="G5" s="585">
        <f>$C5</f>
        <v>3295.2540748366109</v>
      </c>
      <c r="H5" s="585">
        <f>$C5</f>
        <v>3295.2540748366109</v>
      </c>
      <c r="I5" s="585">
        <f>$C5</f>
        <v>3295.2540748366109</v>
      </c>
      <c r="J5" s="585">
        <f>$D5</f>
        <v>3016.8704098262097</v>
      </c>
      <c r="K5" s="585">
        <f t="shared" ref="K5:AX11" si="1">$D5</f>
        <v>3016.8704098262097</v>
      </c>
      <c r="L5" s="585">
        <f t="shared" si="1"/>
        <v>3016.8704098262097</v>
      </c>
      <c r="M5" s="585">
        <f t="shared" si="1"/>
        <v>3016.8704098262097</v>
      </c>
      <c r="N5" s="585">
        <f t="shared" si="1"/>
        <v>3016.8704098262097</v>
      </c>
      <c r="O5" s="585">
        <f t="shared" si="1"/>
        <v>3016.8704098262097</v>
      </c>
      <c r="P5" s="585">
        <f t="shared" si="1"/>
        <v>3016.8704098262097</v>
      </c>
      <c r="Q5" s="585">
        <f t="shared" si="1"/>
        <v>3016.8704098262097</v>
      </c>
      <c r="R5" s="585">
        <f t="shared" si="1"/>
        <v>3016.8704098262097</v>
      </c>
      <c r="S5" s="585">
        <f t="shared" si="1"/>
        <v>3016.8704098262097</v>
      </c>
      <c r="T5" s="585">
        <f t="shared" si="1"/>
        <v>3016.8704098262097</v>
      </c>
      <c r="U5" s="585">
        <f t="shared" si="1"/>
        <v>3016.8704098262097</v>
      </c>
      <c r="V5" s="585">
        <f t="shared" si="1"/>
        <v>3016.8704098262097</v>
      </c>
      <c r="W5" s="585">
        <f t="shared" si="1"/>
        <v>3016.8704098262097</v>
      </c>
      <c r="X5" s="585">
        <f t="shared" si="1"/>
        <v>3016.8704098262097</v>
      </c>
      <c r="Y5" s="585">
        <f t="shared" si="1"/>
        <v>3016.8704098262097</v>
      </c>
      <c r="Z5" s="585">
        <f t="shared" si="1"/>
        <v>3016.8704098262097</v>
      </c>
      <c r="AA5" s="585">
        <f t="shared" si="1"/>
        <v>3016.8704098262097</v>
      </c>
      <c r="AB5" s="585">
        <f t="shared" si="1"/>
        <v>3016.8704098262097</v>
      </c>
      <c r="AC5" s="585">
        <f t="shared" si="1"/>
        <v>3016.8704098262097</v>
      </c>
      <c r="AD5" s="585">
        <f t="shared" si="1"/>
        <v>3016.8704098262097</v>
      </c>
      <c r="AE5" s="585">
        <f t="shared" si="1"/>
        <v>3016.8704098262097</v>
      </c>
      <c r="AF5" s="585">
        <f t="shared" si="1"/>
        <v>3016.8704098262097</v>
      </c>
      <c r="AG5" s="585">
        <f t="shared" si="1"/>
        <v>3016.8704098262097</v>
      </c>
      <c r="AH5" s="585">
        <f t="shared" si="1"/>
        <v>3016.8704098262097</v>
      </c>
      <c r="AI5" s="585">
        <f t="shared" si="1"/>
        <v>3016.8704098262097</v>
      </c>
      <c r="AJ5" s="585">
        <f t="shared" si="1"/>
        <v>3016.8704098262097</v>
      </c>
      <c r="AK5" s="585">
        <f t="shared" si="1"/>
        <v>3016.8704098262097</v>
      </c>
      <c r="AL5" s="585">
        <f t="shared" si="1"/>
        <v>3016.8704098262097</v>
      </c>
      <c r="AM5" s="585">
        <f t="shared" si="1"/>
        <v>3016.8704098262097</v>
      </c>
      <c r="AN5" s="585">
        <f t="shared" si="1"/>
        <v>3016.8704098262097</v>
      </c>
      <c r="AO5" s="585">
        <f t="shared" si="1"/>
        <v>3016.8704098262097</v>
      </c>
      <c r="AP5" s="585">
        <v>0</v>
      </c>
      <c r="AQ5" s="585">
        <f t="shared" si="1"/>
        <v>3016.8704098262097</v>
      </c>
      <c r="AR5" s="585">
        <f t="shared" si="1"/>
        <v>3016.8704098262097</v>
      </c>
      <c r="AS5" s="585">
        <f t="shared" si="1"/>
        <v>3016.8704098262097</v>
      </c>
      <c r="AT5" s="585">
        <f t="shared" si="1"/>
        <v>3016.8704098262097</v>
      </c>
      <c r="AU5" s="585">
        <f t="shared" si="1"/>
        <v>3016.8704098262097</v>
      </c>
      <c r="AV5" s="585">
        <f t="shared" si="1"/>
        <v>3016.8704098262097</v>
      </c>
      <c r="AW5" s="585">
        <f t="shared" si="1"/>
        <v>3016.8704098262097</v>
      </c>
      <c r="AX5" s="585">
        <f t="shared" si="1"/>
        <v>3016.8704098262097</v>
      </c>
    </row>
    <row r="6" spans="1:50">
      <c r="A6" s="580">
        <v>2</v>
      </c>
      <c r="B6" s="585">
        <f>'07b_ATC_Ajuste'!C6</f>
        <v>5092.7723828413127</v>
      </c>
      <c r="C6" s="585">
        <f>'07b_ATC_Ajuste'!G6</f>
        <v>5560.4784421771628</v>
      </c>
      <c r="D6" s="585">
        <f>'07b_ATC_Ajuste'!I6</f>
        <v>5154.2968675627662</v>
      </c>
      <c r="E6" s="582">
        <f t="shared" ref="E6:E12" si="2">SUM(F6:AX6)</f>
        <v>227946.08241188363</v>
      </c>
      <c r="F6" s="585">
        <f t="shared" ref="F6:F12" si="3">B6</f>
        <v>5092.7723828413127</v>
      </c>
      <c r="G6" s="585">
        <f t="shared" ref="G6:I12" si="4">$C6</f>
        <v>5560.4784421771628</v>
      </c>
      <c r="H6" s="585">
        <f t="shared" si="4"/>
        <v>5560.4784421771628</v>
      </c>
      <c r="I6" s="585">
        <f t="shared" si="4"/>
        <v>5560.4784421771628</v>
      </c>
      <c r="J6" s="585">
        <f t="shared" ref="J6:Y12" si="5">$D6</f>
        <v>5154.2968675627662</v>
      </c>
      <c r="K6" s="585">
        <f t="shared" si="5"/>
        <v>5154.2968675627662</v>
      </c>
      <c r="L6" s="585">
        <f t="shared" si="5"/>
        <v>5154.2968675627662</v>
      </c>
      <c r="M6" s="585">
        <f t="shared" si="5"/>
        <v>5154.2968675627662</v>
      </c>
      <c r="N6" s="585">
        <f t="shared" si="5"/>
        <v>5154.2968675627662</v>
      </c>
      <c r="O6" s="585">
        <f t="shared" si="5"/>
        <v>5154.2968675627662</v>
      </c>
      <c r="P6" s="585">
        <f t="shared" si="5"/>
        <v>5154.2968675627662</v>
      </c>
      <c r="Q6" s="585">
        <f t="shared" si="5"/>
        <v>5154.2968675627662</v>
      </c>
      <c r="R6" s="585">
        <f t="shared" si="5"/>
        <v>5154.2968675627662</v>
      </c>
      <c r="S6" s="585">
        <f t="shared" si="5"/>
        <v>5154.2968675627662</v>
      </c>
      <c r="T6" s="585">
        <f t="shared" si="5"/>
        <v>5154.2968675627662</v>
      </c>
      <c r="U6" s="585">
        <f t="shared" si="5"/>
        <v>5154.2968675627662</v>
      </c>
      <c r="V6" s="585">
        <f t="shared" si="5"/>
        <v>5154.2968675627662</v>
      </c>
      <c r="W6" s="585">
        <f t="shared" si="5"/>
        <v>5154.2968675627662</v>
      </c>
      <c r="X6" s="585">
        <f t="shared" si="5"/>
        <v>5154.2968675627662</v>
      </c>
      <c r="Y6" s="585">
        <f t="shared" si="5"/>
        <v>5154.2968675627662</v>
      </c>
      <c r="Z6" s="585">
        <f t="shared" si="1"/>
        <v>5154.2968675627662</v>
      </c>
      <c r="AA6" s="585">
        <f t="shared" si="1"/>
        <v>5154.2968675627662</v>
      </c>
      <c r="AB6" s="585">
        <f t="shared" si="1"/>
        <v>5154.2968675627662</v>
      </c>
      <c r="AC6" s="585">
        <f t="shared" si="1"/>
        <v>5154.2968675627662</v>
      </c>
      <c r="AD6" s="585">
        <f t="shared" si="1"/>
        <v>5154.2968675627662</v>
      </c>
      <c r="AE6" s="585">
        <f t="shared" si="1"/>
        <v>5154.2968675627662</v>
      </c>
      <c r="AF6" s="585">
        <f t="shared" si="1"/>
        <v>5154.2968675627662</v>
      </c>
      <c r="AG6" s="585">
        <f t="shared" si="1"/>
        <v>5154.2968675627662</v>
      </c>
      <c r="AH6" s="585">
        <f t="shared" si="1"/>
        <v>5154.2968675627662</v>
      </c>
      <c r="AI6" s="585">
        <f t="shared" si="1"/>
        <v>5154.2968675627662</v>
      </c>
      <c r="AJ6" s="585">
        <f t="shared" si="1"/>
        <v>5154.2968675627662</v>
      </c>
      <c r="AK6" s="585">
        <f t="shared" si="1"/>
        <v>5154.2968675627662</v>
      </c>
      <c r="AL6" s="585">
        <f t="shared" si="1"/>
        <v>5154.2968675627662</v>
      </c>
      <c r="AM6" s="585">
        <f t="shared" si="1"/>
        <v>5154.2968675627662</v>
      </c>
      <c r="AN6" s="585">
        <f t="shared" si="1"/>
        <v>5154.2968675627662</v>
      </c>
      <c r="AO6" s="585">
        <f t="shared" si="1"/>
        <v>5154.2968675627662</v>
      </c>
      <c r="AP6" s="585">
        <v>0</v>
      </c>
      <c r="AQ6" s="585">
        <f t="shared" si="1"/>
        <v>5154.2968675627662</v>
      </c>
      <c r="AR6" s="585">
        <f t="shared" si="1"/>
        <v>5154.2968675627662</v>
      </c>
      <c r="AS6" s="585">
        <f t="shared" si="1"/>
        <v>5154.2968675627662</v>
      </c>
      <c r="AT6" s="585">
        <f t="shared" si="1"/>
        <v>5154.2968675627662</v>
      </c>
      <c r="AU6" s="585">
        <f t="shared" si="1"/>
        <v>5154.2968675627662</v>
      </c>
      <c r="AV6" s="585">
        <f t="shared" si="1"/>
        <v>5154.2968675627662</v>
      </c>
      <c r="AW6" s="585">
        <f t="shared" si="1"/>
        <v>5154.2968675627662</v>
      </c>
      <c r="AX6" s="585">
        <f t="shared" si="1"/>
        <v>5154.2968675627662</v>
      </c>
    </row>
    <row r="7" spans="1:50">
      <c r="A7" s="580">
        <v>3</v>
      </c>
      <c r="B7" s="585">
        <f>'07b_ATC_Ajuste'!C7</f>
        <v>5431.80275334625</v>
      </c>
      <c r="C7" s="585">
        <f>'07b_ATC_Ajuste'!G7</f>
        <v>5898.3034731718144</v>
      </c>
      <c r="D7" s="585">
        <f>'07b_ATC_Ajuste'!I7</f>
        <v>5416.3265747453397</v>
      </c>
      <c r="E7" s="582">
        <f t="shared" si="2"/>
        <v>239779.77616267503</v>
      </c>
      <c r="F7" s="585">
        <f t="shared" si="3"/>
        <v>5431.80275334625</v>
      </c>
      <c r="G7" s="585">
        <f t="shared" si="4"/>
        <v>5898.3034731718144</v>
      </c>
      <c r="H7" s="585">
        <f t="shared" si="4"/>
        <v>5898.3034731718144</v>
      </c>
      <c r="I7" s="585">
        <f t="shared" si="4"/>
        <v>5898.3034731718144</v>
      </c>
      <c r="J7" s="585">
        <f t="shared" si="5"/>
        <v>5416.3265747453397</v>
      </c>
      <c r="K7" s="585">
        <f t="shared" si="1"/>
        <v>5416.3265747453397</v>
      </c>
      <c r="L7" s="585">
        <f t="shared" si="1"/>
        <v>5416.3265747453397</v>
      </c>
      <c r="M7" s="585">
        <f t="shared" si="1"/>
        <v>5416.3265747453397</v>
      </c>
      <c r="N7" s="585">
        <f t="shared" si="1"/>
        <v>5416.3265747453397</v>
      </c>
      <c r="O7" s="585">
        <f t="shared" si="1"/>
        <v>5416.3265747453397</v>
      </c>
      <c r="P7" s="585">
        <f t="shared" si="1"/>
        <v>5416.3265747453397</v>
      </c>
      <c r="Q7" s="585">
        <f t="shared" si="1"/>
        <v>5416.3265747453397</v>
      </c>
      <c r="R7" s="585">
        <f t="shared" si="1"/>
        <v>5416.3265747453397</v>
      </c>
      <c r="S7" s="585">
        <f t="shared" si="1"/>
        <v>5416.3265747453397</v>
      </c>
      <c r="T7" s="585">
        <f t="shared" si="1"/>
        <v>5416.3265747453397</v>
      </c>
      <c r="U7" s="585">
        <f t="shared" si="1"/>
        <v>5416.3265747453397</v>
      </c>
      <c r="V7" s="585">
        <f t="shared" si="1"/>
        <v>5416.3265747453397</v>
      </c>
      <c r="W7" s="585">
        <f t="shared" si="1"/>
        <v>5416.3265747453397</v>
      </c>
      <c r="X7" s="585">
        <f t="shared" si="1"/>
        <v>5416.3265747453397</v>
      </c>
      <c r="Y7" s="585">
        <f t="shared" si="1"/>
        <v>5416.3265747453397</v>
      </c>
      <c r="Z7" s="585">
        <f t="shared" si="1"/>
        <v>5416.3265747453397</v>
      </c>
      <c r="AA7" s="585">
        <f t="shared" si="1"/>
        <v>5416.3265747453397</v>
      </c>
      <c r="AB7" s="585">
        <f t="shared" si="1"/>
        <v>5416.3265747453397</v>
      </c>
      <c r="AC7" s="585">
        <f t="shared" si="1"/>
        <v>5416.3265747453397</v>
      </c>
      <c r="AD7" s="585">
        <f t="shared" si="1"/>
        <v>5416.3265747453397</v>
      </c>
      <c r="AE7" s="585">
        <f t="shared" si="1"/>
        <v>5416.3265747453397</v>
      </c>
      <c r="AF7" s="585">
        <f t="shared" si="1"/>
        <v>5416.3265747453397</v>
      </c>
      <c r="AG7" s="585">
        <f t="shared" si="1"/>
        <v>5416.3265747453397</v>
      </c>
      <c r="AH7" s="585">
        <f t="shared" si="1"/>
        <v>5416.3265747453397</v>
      </c>
      <c r="AI7" s="585">
        <f t="shared" si="1"/>
        <v>5416.3265747453397</v>
      </c>
      <c r="AJ7" s="585">
        <f t="shared" si="1"/>
        <v>5416.3265747453397</v>
      </c>
      <c r="AK7" s="585">
        <f t="shared" si="1"/>
        <v>5416.3265747453397</v>
      </c>
      <c r="AL7" s="585">
        <f t="shared" si="1"/>
        <v>5416.3265747453397</v>
      </c>
      <c r="AM7" s="585">
        <f t="shared" si="1"/>
        <v>5416.3265747453397</v>
      </c>
      <c r="AN7" s="585">
        <f t="shared" si="1"/>
        <v>5416.3265747453397</v>
      </c>
      <c r="AO7" s="585">
        <f t="shared" si="1"/>
        <v>5416.3265747453397</v>
      </c>
      <c r="AP7" s="585">
        <v>0</v>
      </c>
      <c r="AQ7" s="585">
        <f t="shared" si="1"/>
        <v>5416.3265747453397</v>
      </c>
      <c r="AR7" s="585">
        <f t="shared" si="1"/>
        <v>5416.3265747453397</v>
      </c>
      <c r="AS7" s="585">
        <f t="shared" si="1"/>
        <v>5416.3265747453397</v>
      </c>
      <c r="AT7" s="585">
        <f t="shared" si="1"/>
        <v>5416.3265747453397</v>
      </c>
      <c r="AU7" s="585">
        <f t="shared" si="1"/>
        <v>5416.3265747453397</v>
      </c>
      <c r="AV7" s="585">
        <f t="shared" si="1"/>
        <v>5416.3265747453397</v>
      </c>
      <c r="AW7" s="585">
        <f t="shared" si="1"/>
        <v>5416.3265747453397</v>
      </c>
      <c r="AX7" s="585">
        <f t="shared" si="1"/>
        <v>5416.3265747453397</v>
      </c>
    </row>
    <row r="8" spans="1:50">
      <c r="A8" s="580">
        <v>4</v>
      </c>
      <c r="B8" s="585">
        <f>'07b_ATC_Ajuste'!C8</f>
        <v>8133.4699118704657</v>
      </c>
      <c r="C8" s="585">
        <f>'07b_ATC_Ajuste'!G8</f>
        <v>8698.2780216559368</v>
      </c>
      <c r="D8" s="585">
        <f>'07b_ATC_Ajuste'!I8</f>
        <v>7734.9061404628665</v>
      </c>
      <c r="E8" s="582">
        <f t="shared" si="2"/>
        <v>343624.5495953529</v>
      </c>
      <c r="F8" s="585">
        <f t="shared" si="3"/>
        <v>8133.4699118704657</v>
      </c>
      <c r="G8" s="585">
        <f t="shared" si="4"/>
        <v>8698.2780216559368</v>
      </c>
      <c r="H8" s="585">
        <f t="shared" si="4"/>
        <v>8698.2780216559368</v>
      </c>
      <c r="I8" s="585">
        <f t="shared" si="4"/>
        <v>8698.2780216559368</v>
      </c>
      <c r="J8" s="585">
        <f t="shared" si="5"/>
        <v>7734.9061404628665</v>
      </c>
      <c r="K8" s="585">
        <f t="shared" si="1"/>
        <v>7734.9061404628665</v>
      </c>
      <c r="L8" s="585">
        <f t="shared" si="1"/>
        <v>7734.9061404628665</v>
      </c>
      <c r="M8" s="585">
        <f t="shared" si="1"/>
        <v>7734.9061404628665</v>
      </c>
      <c r="N8" s="585">
        <f t="shared" si="1"/>
        <v>7734.9061404628665</v>
      </c>
      <c r="O8" s="585">
        <f t="shared" si="1"/>
        <v>7734.9061404628665</v>
      </c>
      <c r="P8" s="585">
        <f t="shared" si="1"/>
        <v>7734.9061404628665</v>
      </c>
      <c r="Q8" s="585">
        <f t="shared" si="1"/>
        <v>7734.9061404628665</v>
      </c>
      <c r="R8" s="585">
        <f t="shared" si="1"/>
        <v>7734.9061404628665</v>
      </c>
      <c r="S8" s="585">
        <f t="shared" si="1"/>
        <v>7734.9061404628665</v>
      </c>
      <c r="T8" s="585">
        <f t="shared" si="1"/>
        <v>7734.9061404628665</v>
      </c>
      <c r="U8" s="585">
        <f t="shared" si="1"/>
        <v>7734.9061404628665</v>
      </c>
      <c r="V8" s="585">
        <f t="shared" si="1"/>
        <v>7734.9061404628665</v>
      </c>
      <c r="W8" s="585">
        <f t="shared" si="1"/>
        <v>7734.9061404628665</v>
      </c>
      <c r="X8" s="585">
        <f t="shared" si="1"/>
        <v>7734.9061404628665</v>
      </c>
      <c r="Y8" s="585">
        <f t="shared" si="1"/>
        <v>7734.9061404628665</v>
      </c>
      <c r="Z8" s="585">
        <f t="shared" si="1"/>
        <v>7734.9061404628665</v>
      </c>
      <c r="AA8" s="585">
        <f t="shared" si="1"/>
        <v>7734.9061404628665</v>
      </c>
      <c r="AB8" s="585">
        <f t="shared" si="1"/>
        <v>7734.9061404628665</v>
      </c>
      <c r="AC8" s="585">
        <f t="shared" si="1"/>
        <v>7734.9061404628665</v>
      </c>
      <c r="AD8" s="585">
        <f t="shared" si="1"/>
        <v>7734.9061404628665</v>
      </c>
      <c r="AE8" s="585">
        <f t="shared" si="1"/>
        <v>7734.9061404628665</v>
      </c>
      <c r="AF8" s="585">
        <f t="shared" si="1"/>
        <v>7734.9061404628665</v>
      </c>
      <c r="AG8" s="585">
        <f t="shared" si="1"/>
        <v>7734.9061404628665</v>
      </c>
      <c r="AH8" s="585">
        <f t="shared" si="1"/>
        <v>7734.9061404628665</v>
      </c>
      <c r="AI8" s="585">
        <f t="shared" si="1"/>
        <v>7734.9061404628665</v>
      </c>
      <c r="AJ8" s="585">
        <f t="shared" si="1"/>
        <v>7734.9061404628665</v>
      </c>
      <c r="AK8" s="585">
        <f t="shared" si="1"/>
        <v>7734.9061404628665</v>
      </c>
      <c r="AL8" s="585">
        <f t="shared" si="1"/>
        <v>7734.9061404628665</v>
      </c>
      <c r="AM8" s="585">
        <f t="shared" si="1"/>
        <v>7734.9061404628665</v>
      </c>
      <c r="AN8" s="585">
        <f t="shared" si="1"/>
        <v>7734.9061404628665</v>
      </c>
      <c r="AO8" s="585">
        <f t="shared" si="1"/>
        <v>7734.9061404628665</v>
      </c>
      <c r="AP8" s="585">
        <v>0</v>
      </c>
      <c r="AQ8" s="585">
        <f t="shared" si="1"/>
        <v>7734.9061404628665</v>
      </c>
      <c r="AR8" s="585">
        <f t="shared" si="1"/>
        <v>7734.9061404628665</v>
      </c>
      <c r="AS8" s="585">
        <f t="shared" si="1"/>
        <v>7734.9061404628665</v>
      </c>
      <c r="AT8" s="585">
        <f t="shared" si="1"/>
        <v>7734.9061404628665</v>
      </c>
      <c r="AU8" s="585">
        <f t="shared" si="1"/>
        <v>7734.9061404628665</v>
      </c>
      <c r="AV8" s="585">
        <f t="shared" si="1"/>
        <v>7734.9061404628665</v>
      </c>
      <c r="AW8" s="585">
        <f t="shared" si="1"/>
        <v>7734.9061404628665</v>
      </c>
      <c r="AX8" s="585">
        <f t="shared" si="1"/>
        <v>7734.9061404628665</v>
      </c>
    </row>
    <row r="9" spans="1:50">
      <c r="A9" s="580">
        <v>5</v>
      </c>
      <c r="B9" s="585">
        <f>'07b_ATC_Ajuste'!C9</f>
        <v>5998.1154100699305</v>
      </c>
      <c r="C9" s="585">
        <f>'07b_ATC_Ajuste'!G9</f>
        <v>6513.6260029490104</v>
      </c>
      <c r="D9" s="585">
        <f>'07b_ATC_Ajuste'!I9</f>
        <v>6054.9978188827026</v>
      </c>
      <c r="E9" s="582">
        <f t="shared" si="2"/>
        <v>273793.90399310761</v>
      </c>
      <c r="F9" s="585">
        <f t="shared" si="3"/>
        <v>5998.1154100699305</v>
      </c>
      <c r="G9" s="585">
        <f t="shared" si="4"/>
        <v>6513.6260029490104</v>
      </c>
      <c r="H9" s="585">
        <f t="shared" si="4"/>
        <v>6513.6260029490104</v>
      </c>
      <c r="I9" s="585">
        <f t="shared" si="4"/>
        <v>6513.6260029490104</v>
      </c>
      <c r="J9" s="585">
        <f t="shared" si="5"/>
        <v>6054.9978188827026</v>
      </c>
      <c r="K9" s="585">
        <f t="shared" si="1"/>
        <v>6054.9978188827026</v>
      </c>
      <c r="L9" s="585">
        <f t="shared" si="1"/>
        <v>6054.9978188827026</v>
      </c>
      <c r="M9" s="585">
        <f t="shared" si="1"/>
        <v>6054.9978188827026</v>
      </c>
      <c r="N9" s="585">
        <f t="shared" si="1"/>
        <v>6054.9978188827026</v>
      </c>
      <c r="O9" s="585">
        <f t="shared" si="1"/>
        <v>6054.9978188827026</v>
      </c>
      <c r="P9" s="585">
        <f t="shared" si="1"/>
        <v>6054.9978188827026</v>
      </c>
      <c r="Q9" s="585">
        <f t="shared" si="1"/>
        <v>6054.9978188827026</v>
      </c>
      <c r="R9" s="585">
        <f t="shared" si="1"/>
        <v>6054.9978188827026</v>
      </c>
      <c r="S9" s="585">
        <f t="shared" si="1"/>
        <v>6054.9978188827026</v>
      </c>
      <c r="T9" s="585">
        <f t="shared" si="1"/>
        <v>6054.9978188827026</v>
      </c>
      <c r="U9" s="585">
        <f t="shared" si="1"/>
        <v>6054.9978188827026</v>
      </c>
      <c r="V9" s="585">
        <f t="shared" si="1"/>
        <v>6054.9978188827026</v>
      </c>
      <c r="W9" s="585">
        <f t="shared" si="1"/>
        <v>6054.9978188827026</v>
      </c>
      <c r="X9" s="585">
        <f t="shared" si="1"/>
        <v>6054.9978188827026</v>
      </c>
      <c r="Y9" s="585">
        <f t="shared" si="1"/>
        <v>6054.9978188827026</v>
      </c>
      <c r="Z9" s="585">
        <f t="shared" si="1"/>
        <v>6054.9978188827026</v>
      </c>
      <c r="AA9" s="585">
        <f t="shared" si="1"/>
        <v>6054.9978188827026</v>
      </c>
      <c r="AB9" s="585">
        <f t="shared" si="1"/>
        <v>6054.9978188827026</v>
      </c>
      <c r="AC9" s="585">
        <f t="shared" si="1"/>
        <v>6054.9978188827026</v>
      </c>
      <c r="AD9" s="585">
        <f t="shared" si="1"/>
        <v>6054.9978188827026</v>
      </c>
      <c r="AE9" s="585">
        <f t="shared" si="1"/>
        <v>6054.9978188827026</v>
      </c>
      <c r="AF9" s="585">
        <f t="shared" si="1"/>
        <v>6054.9978188827026</v>
      </c>
      <c r="AG9" s="585">
        <f t="shared" si="1"/>
        <v>6054.9978188827026</v>
      </c>
      <c r="AH9" s="585">
        <f t="shared" si="1"/>
        <v>6054.9978188827026</v>
      </c>
      <c r="AI9" s="585">
        <f t="shared" si="1"/>
        <v>6054.9978188827026</v>
      </c>
      <c r="AJ9" s="585">
        <f t="shared" si="1"/>
        <v>6054.9978188827026</v>
      </c>
      <c r="AK9" s="585">
        <f t="shared" si="1"/>
        <v>6054.9978188827026</v>
      </c>
      <c r="AL9" s="585">
        <f t="shared" si="1"/>
        <v>6054.9978188827026</v>
      </c>
      <c r="AM9" s="585">
        <f t="shared" si="1"/>
        <v>6054.9978188827026</v>
      </c>
      <c r="AN9" s="585">
        <f t="shared" si="1"/>
        <v>6054.9978188827026</v>
      </c>
      <c r="AO9" s="585">
        <f t="shared" si="1"/>
        <v>6054.9978188827026</v>
      </c>
      <c r="AP9" s="585">
        <f t="shared" si="1"/>
        <v>6054.9978188827026</v>
      </c>
      <c r="AQ9" s="585">
        <f t="shared" si="1"/>
        <v>6054.9978188827026</v>
      </c>
      <c r="AR9" s="585">
        <f t="shared" si="1"/>
        <v>6054.9978188827026</v>
      </c>
      <c r="AS9" s="585">
        <f t="shared" si="1"/>
        <v>6054.9978188827026</v>
      </c>
      <c r="AT9" s="585">
        <f t="shared" si="1"/>
        <v>6054.9978188827026</v>
      </c>
      <c r="AU9" s="585">
        <f t="shared" si="1"/>
        <v>6054.9978188827026</v>
      </c>
      <c r="AV9" s="585">
        <f t="shared" si="1"/>
        <v>6054.9978188827026</v>
      </c>
      <c r="AW9" s="585">
        <f t="shared" si="1"/>
        <v>6054.9978188827026</v>
      </c>
      <c r="AX9" s="585">
        <f t="shared" si="1"/>
        <v>6054.9978188827026</v>
      </c>
    </row>
    <row r="10" spans="1:50">
      <c r="A10" s="580">
        <v>6</v>
      </c>
      <c r="B10" s="585">
        <f>'07b_ATC_Ajuste'!C10</f>
        <v>6680.3983195752862</v>
      </c>
      <c r="C10" s="585">
        <f>'07b_ATC_Ajuste'!G10</f>
        <v>7211.8799549623436</v>
      </c>
      <c r="D10" s="585">
        <f>'07b_ATC_Ajuste'!I10</f>
        <v>6369.5440403549974</v>
      </c>
      <c r="E10" s="582">
        <f t="shared" si="2"/>
        <v>289467.34383901715</v>
      </c>
      <c r="F10" s="585">
        <f t="shared" si="3"/>
        <v>6680.3983195752862</v>
      </c>
      <c r="G10" s="585">
        <f t="shared" si="4"/>
        <v>7211.8799549623436</v>
      </c>
      <c r="H10" s="585">
        <f t="shared" si="4"/>
        <v>7211.8799549623436</v>
      </c>
      <c r="I10" s="585">
        <f t="shared" si="4"/>
        <v>7211.8799549623436</v>
      </c>
      <c r="J10" s="585">
        <f t="shared" si="5"/>
        <v>6369.5440403549974</v>
      </c>
      <c r="K10" s="585">
        <f t="shared" si="1"/>
        <v>6369.5440403549974</v>
      </c>
      <c r="L10" s="585">
        <f t="shared" si="1"/>
        <v>6369.5440403549974</v>
      </c>
      <c r="M10" s="585">
        <f t="shared" si="1"/>
        <v>6369.5440403549974</v>
      </c>
      <c r="N10" s="585">
        <f t="shared" si="1"/>
        <v>6369.5440403549974</v>
      </c>
      <c r="O10" s="585">
        <f t="shared" si="1"/>
        <v>6369.5440403549974</v>
      </c>
      <c r="P10" s="585">
        <f t="shared" si="1"/>
        <v>6369.5440403549974</v>
      </c>
      <c r="Q10" s="585">
        <f t="shared" si="1"/>
        <v>6369.5440403549974</v>
      </c>
      <c r="R10" s="585">
        <f t="shared" si="1"/>
        <v>6369.5440403549974</v>
      </c>
      <c r="S10" s="585">
        <f t="shared" si="1"/>
        <v>6369.5440403549974</v>
      </c>
      <c r="T10" s="585">
        <f t="shared" si="1"/>
        <v>6369.5440403549974</v>
      </c>
      <c r="U10" s="585">
        <f t="shared" si="1"/>
        <v>6369.5440403549974</v>
      </c>
      <c r="V10" s="585">
        <f t="shared" si="1"/>
        <v>6369.5440403549974</v>
      </c>
      <c r="W10" s="585">
        <f t="shared" si="1"/>
        <v>6369.5440403549974</v>
      </c>
      <c r="X10" s="585">
        <f t="shared" si="1"/>
        <v>6369.5440403549974</v>
      </c>
      <c r="Y10" s="585">
        <f t="shared" si="1"/>
        <v>6369.5440403549974</v>
      </c>
      <c r="Z10" s="585">
        <f t="shared" si="1"/>
        <v>6369.5440403549974</v>
      </c>
      <c r="AA10" s="585">
        <f t="shared" si="1"/>
        <v>6369.5440403549974</v>
      </c>
      <c r="AB10" s="585">
        <f t="shared" si="1"/>
        <v>6369.5440403549974</v>
      </c>
      <c r="AC10" s="585">
        <f t="shared" si="1"/>
        <v>6369.5440403549974</v>
      </c>
      <c r="AD10" s="585">
        <f t="shared" si="1"/>
        <v>6369.5440403549974</v>
      </c>
      <c r="AE10" s="585">
        <f t="shared" si="1"/>
        <v>6369.5440403549974</v>
      </c>
      <c r="AF10" s="585">
        <f t="shared" si="1"/>
        <v>6369.5440403549974</v>
      </c>
      <c r="AG10" s="585">
        <f t="shared" si="1"/>
        <v>6369.5440403549974</v>
      </c>
      <c r="AH10" s="585">
        <f t="shared" si="1"/>
        <v>6369.5440403549974</v>
      </c>
      <c r="AI10" s="585">
        <f t="shared" si="1"/>
        <v>6369.5440403549974</v>
      </c>
      <c r="AJ10" s="585">
        <f t="shared" si="1"/>
        <v>6369.5440403549974</v>
      </c>
      <c r="AK10" s="585">
        <f t="shared" si="1"/>
        <v>6369.5440403549974</v>
      </c>
      <c r="AL10" s="585">
        <f t="shared" si="1"/>
        <v>6369.5440403549974</v>
      </c>
      <c r="AM10" s="585">
        <f t="shared" si="1"/>
        <v>6369.5440403549974</v>
      </c>
      <c r="AN10" s="585">
        <f t="shared" si="1"/>
        <v>6369.5440403549974</v>
      </c>
      <c r="AO10" s="585">
        <f t="shared" si="1"/>
        <v>6369.5440403549974</v>
      </c>
      <c r="AP10" s="585">
        <f t="shared" si="1"/>
        <v>6369.5440403549974</v>
      </c>
      <c r="AQ10" s="585">
        <f t="shared" si="1"/>
        <v>6369.5440403549974</v>
      </c>
      <c r="AR10" s="585">
        <f t="shared" si="1"/>
        <v>6369.5440403549974</v>
      </c>
      <c r="AS10" s="585">
        <f t="shared" si="1"/>
        <v>6369.5440403549974</v>
      </c>
      <c r="AT10" s="585">
        <f t="shared" si="1"/>
        <v>6369.5440403549974</v>
      </c>
      <c r="AU10" s="585">
        <f t="shared" si="1"/>
        <v>6369.5440403549974</v>
      </c>
      <c r="AV10" s="585">
        <f t="shared" si="1"/>
        <v>6369.5440403549974</v>
      </c>
      <c r="AW10" s="585">
        <f t="shared" si="1"/>
        <v>6369.5440403549974</v>
      </c>
      <c r="AX10" s="585">
        <f t="shared" si="1"/>
        <v>6369.5440403549974</v>
      </c>
    </row>
    <row r="11" spans="1:50">
      <c r="A11" s="580">
        <v>7</v>
      </c>
      <c r="B11" s="585">
        <f>'07b_ATC_Ajuste'!C11</f>
        <v>6265.2010167113922</v>
      </c>
      <c r="C11" s="585">
        <f>'07b_ATC_Ajuste'!G11</f>
        <v>6617.9691137354239</v>
      </c>
      <c r="D11" s="585">
        <f>'07b_ATC_Ajuste'!I11</f>
        <v>4534.8336864550274</v>
      </c>
      <c r="E11" s="582">
        <f t="shared" si="2"/>
        <v>212047.28950257387</v>
      </c>
      <c r="F11" s="585">
        <f t="shared" si="3"/>
        <v>6265.2010167113922</v>
      </c>
      <c r="G11" s="585">
        <f t="shared" si="4"/>
        <v>6617.9691137354239</v>
      </c>
      <c r="H11" s="585">
        <f t="shared" si="4"/>
        <v>6617.9691137354239</v>
      </c>
      <c r="I11" s="585">
        <f t="shared" si="4"/>
        <v>6617.9691137354239</v>
      </c>
      <c r="J11" s="585">
        <f t="shared" si="5"/>
        <v>4534.8336864550274</v>
      </c>
      <c r="K11" s="585">
        <f t="shared" si="1"/>
        <v>4534.8336864550274</v>
      </c>
      <c r="L11" s="585">
        <f t="shared" si="1"/>
        <v>4534.8336864550274</v>
      </c>
      <c r="M11" s="585">
        <f t="shared" si="1"/>
        <v>4534.8336864550274</v>
      </c>
      <c r="N11" s="585">
        <f t="shared" si="1"/>
        <v>4534.8336864550274</v>
      </c>
      <c r="O11" s="585">
        <f t="shared" si="1"/>
        <v>4534.8336864550274</v>
      </c>
      <c r="P11" s="585">
        <f t="shared" si="1"/>
        <v>4534.8336864550274</v>
      </c>
      <c r="Q11" s="585">
        <f t="shared" si="1"/>
        <v>4534.8336864550274</v>
      </c>
      <c r="R11" s="585">
        <f t="shared" si="1"/>
        <v>4534.8336864550274</v>
      </c>
      <c r="S11" s="585">
        <f t="shared" si="1"/>
        <v>4534.8336864550274</v>
      </c>
      <c r="T11" s="585">
        <f t="shared" si="1"/>
        <v>4534.8336864550274</v>
      </c>
      <c r="U11" s="585">
        <f t="shared" si="1"/>
        <v>4534.8336864550274</v>
      </c>
      <c r="V11" s="585">
        <f t="shared" si="1"/>
        <v>4534.8336864550274</v>
      </c>
      <c r="W11" s="585">
        <f t="shared" si="1"/>
        <v>4534.8336864550274</v>
      </c>
      <c r="X11" s="585">
        <f t="shared" si="1"/>
        <v>4534.8336864550274</v>
      </c>
      <c r="Y11" s="585">
        <f t="shared" si="1"/>
        <v>4534.8336864550274</v>
      </c>
      <c r="Z11" s="585">
        <f t="shared" si="1"/>
        <v>4534.8336864550274</v>
      </c>
      <c r="AA11" s="585">
        <f t="shared" si="1"/>
        <v>4534.8336864550274</v>
      </c>
      <c r="AB11" s="585">
        <f t="shared" si="1"/>
        <v>4534.8336864550274</v>
      </c>
      <c r="AC11" s="585">
        <f t="shared" si="1"/>
        <v>4534.8336864550274</v>
      </c>
      <c r="AD11" s="585">
        <f t="shared" si="1"/>
        <v>4534.8336864550274</v>
      </c>
      <c r="AE11" s="585">
        <f t="shared" si="1"/>
        <v>4534.8336864550274</v>
      </c>
      <c r="AF11" s="585">
        <f t="shared" si="1"/>
        <v>4534.8336864550274</v>
      </c>
      <c r="AG11" s="585">
        <f t="shared" si="1"/>
        <v>4534.8336864550274</v>
      </c>
      <c r="AH11" s="585">
        <f t="shared" si="1"/>
        <v>4534.8336864550274</v>
      </c>
      <c r="AI11" s="585">
        <f t="shared" si="1"/>
        <v>4534.8336864550274</v>
      </c>
      <c r="AJ11" s="585">
        <f t="shared" si="1"/>
        <v>4534.8336864550274</v>
      </c>
      <c r="AK11" s="585">
        <f t="shared" si="1"/>
        <v>4534.8336864550274</v>
      </c>
      <c r="AL11" s="585">
        <f t="shared" si="1"/>
        <v>4534.8336864550274</v>
      </c>
      <c r="AM11" s="585">
        <f t="shared" si="1"/>
        <v>4534.8336864550274</v>
      </c>
      <c r="AN11" s="585">
        <f t="shared" si="1"/>
        <v>4534.8336864550274</v>
      </c>
      <c r="AO11" s="585">
        <f t="shared" ref="K11:AX12" si="6">$D11</f>
        <v>4534.8336864550274</v>
      </c>
      <c r="AP11" s="585">
        <f t="shared" si="6"/>
        <v>4534.8336864550274</v>
      </c>
      <c r="AQ11" s="585">
        <f t="shared" si="6"/>
        <v>4534.8336864550274</v>
      </c>
      <c r="AR11" s="585">
        <f t="shared" si="6"/>
        <v>4534.8336864550274</v>
      </c>
      <c r="AS11" s="585">
        <f t="shared" si="6"/>
        <v>4534.8336864550274</v>
      </c>
      <c r="AT11" s="585">
        <f t="shared" si="6"/>
        <v>4534.8336864550274</v>
      </c>
      <c r="AU11" s="585">
        <f t="shared" si="6"/>
        <v>4534.8336864550274</v>
      </c>
      <c r="AV11" s="585">
        <f t="shared" si="6"/>
        <v>4534.8336864550274</v>
      </c>
      <c r="AW11" s="585">
        <f t="shared" si="6"/>
        <v>4534.8336864550274</v>
      </c>
      <c r="AX11" s="585">
        <f t="shared" si="6"/>
        <v>4534.8336864550274</v>
      </c>
    </row>
    <row r="12" spans="1:50">
      <c r="A12" s="580">
        <v>8</v>
      </c>
      <c r="B12" s="585">
        <f>'07b_ATC_Ajuste'!C12</f>
        <v>3425.1479890293858</v>
      </c>
      <c r="C12" s="585">
        <f>'07b_ATC_Ajuste'!G12</f>
        <v>3810.0235022245533</v>
      </c>
      <c r="D12" s="585">
        <f>'07b_ATC_Ajuste'!I12</f>
        <v>3444.0363442607454</v>
      </c>
      <c r="E12" s="582">
        <f t="shared" si="2"/>
        <v>156060.7086103936</v>
      </c>
      <c r="F12" s="585">
        <f t="shared" si="3"/>
        <v>3425.1479890293858</v>
      </c>
      <c r="G12" s="585">
        <f t="shared" si="4"/>
        <v>3810.0235022245533</v>
      </c>
      <c r="H12" s="585">
        <f t="shared" si="4"/>
        <v>3810.0235022245533</v>
      </c>
      <c r="I12" s="585">
        <f t="shared" si="4"/>
        <v>3810.0235022245533</v>
      </c>
      <c r="J12" s="585">
        <f t="shared" si="5"/>
        <v>3444.0363442607454</v>
      </c>
      <c r="K12" s="585">
        <f t="shared" si="6"/>
        <v>3444.0363442607454</v>
      </c>
      <c r="L12" s="585">
        <f t="shared" si="6"/>
        <v>3444.0363442607454</v>
      </c>
      <c r="M12" s="585">
        <f t="shared" si="6"/>
        <v>3444.0363442607454</v>
      </c>
      <c r="N12" s="585">
        <f t="shared" si="6"/>
        <v>3444.0363442607454</v>
      </c>
      <c r="O12" s="585">
        <f t="shared" si="6"/>
        <v>3444.0363442607454</v>
      </c>
      <c r="P12" s="585">
        <f t="shared" si="6"/>
        <v>3444.0363442607454</v>
      </c>
      <c r="Q12" s="585">
        <f t="shared" si="6"/>
        <v>3444.0363442607454</v>
      </c>
      <c r="R12" s="585">
        <f t="shared" si="6"/>
        <v>3444.0363442607454</v>
      </c>
      <c r="S12" s="585">
        <f t="shared" si="6"/>
        <v>3444.0363442607454</v>
      </c>
      <c r="T12" s="585">
        <f t="shared" si="6"/>
        <v>3444.0363442607454</v>
      </c>
      <c r="U12" s="585">
        <f t="shared" si="6"/>
        <v>3444.0363442607454</v>
      </c>
      <c r="V12" s="585">
        <f t="shared" si="6"/>
        <v>3444.0363442607454</v>
      </c>
      <c r="W12" s="585">
        <f t="shared" si="6"/>
        <v>3444.0363442607454</v>
      </c>
      <c r="X12" s="585">
        <f t="shared" si="6"/>
        <v>3444.0363442607454</v>
      </c>
      <c r="Y12" s="585">
        <f t="shared" si="6"/>
        <v>3444.0363442607454</v>
      </c>
      <c r="Z12" s="585">
        <f t="shared" si="6"/>
        <v>3444.0363442607454</v>
      </c>
      <c r="AA12" s="585">
        <f t="shared" si="6"/>
        <v>3444.0363442607454</v>
      </c>
      <c r="AB12" s="585">
        <f t="shared" si="6"/>
        <v>3444.0363442607454</v>
      </c>
      <c r="AC12" s="585">
        <f t="shared" si="6"/>
        <v>3444.0363442607454</v>
      </c>
      <c r="AD12" s="585">
        <f t="shared" si="6"/>
        <v>3444.0363442607454</v>
      </c>
      <c r="AE12" s="585">
        <f t="shared" si="6"/>
        <v>3444.0363442607454</v>
      </c>
      <c r="AF12" s="585">
        <f t="shared" si="6"/>
        <v>3444.0363442607454</v>
      </c>
      <c r="AG12" s="585">
        <f t="shared" si="6"/>
        <v>3444.0363442607454</v>
      </c>
      <c r="AH12" s="585">
        <f t="shared" si="6"/>
        <v>3444.0363442607454</v>
      </c>
      <c r="AI12" s="585">
        <f t="shared" si="6"/>
        <v>3444.0363442607454</v>
      </c>
      <c r="AJ12" s="585">
        <f t="shared" si="6"/>
        <v>3444.0363442607454</v>
      </c>
      <c r="AK12" s="585">
        <f t="shared" si="6"/>
        <v>3444.0363442607454</v>
      </c>
      <c r="AL12" s="585">
        <f t="shared" si="6"/>
        <v>3444.0363442607454</v>
      </c>
      <c r="AM12" s="585">
        <f t="shared" si="6"/>
        <v>3444.0363442607454</v>
      </c>
      <c r="AN12" s="585">
        <f t="shared" si="6"/>
        <v>3444.0363442607454</v>
      </c>
      <c r="AO12" s="585">
        <f t="shared" si="6"/>
        <v>3444.0363442607454</v>
      </c>
      <c r="AP12" s="585">
        <f t="shared" si="6"/>
        <v>3444.0363442607454</v>
      </c>
      <c r="AQ12" s="585">
        <f t="shared" si="6"/>
        <v>3444.0363442607454</v>
      </c>
      <c r="AR12" s="585">
        <f t="shared" si="6"/>
        <v>3444.0363442607454</v>
      </c>
      <c r="AS12" s="585">
        <f t="shared" si="6"/>
        <v>3444.0363442607454</v>
      </c>
      <c r="AT12" s="585">
        <f t="shared" si="6"/>
        <v>3444.0363442607454</v>
      </c>
      <c r="AU12" s="585">
        <f t="shared" si="6"/>
        <v>3444.0363442607454</v>
      </c>
      <c r="AV12" s="585">
        <f t="shared" si="6"/>
        <v>3444.0363442607454</v>
      </c>
      <c r="AW12" s="585">
        <f t="shared" si="6"/>
        <v>3444.0363442607454</v>
      </c>
      <c r="AX12" s="585">
        <f t="shared" si="6"/>
        <v>3444.0363442607454</v>
      </c>
    </row>
  </sheetData>
  <mergeCells count="2">
    <mergeCell ref="B1:AX1"/>
    <mergeCell ref="A1:A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293F6-CB91-418C-95E0-9ADA4C3023B6}">
  <sheetPr>
    <tabColor theme="7" tint="0.39997558519241921"/>
  </sheetPr>
  <dimension ref="A1:N34"/>
  <sheetViews>
    <sheetView zoomScale="130" zoomScaleNormal="130" workbookViewId="0">
      <selection activeCell="A20" sqref="A20:A25"/>
    </sheetView>
  </sheetViews>
  <sheetFormatPr defaultColWidth="11" defaultRowHeight="13.9"/>
  <cols>
    <col min="1" max="1" width="5.125" style="1" bestFit="1" customWidth="1"/>
    <col min="2" max="2" width="49.875" bestFit="1" customWidth="1"/>
    <col min="3" max="3" width="6.25" bestFit="1" customWidth="1"/>
    <col min="4" max="4" width="7.25" style="40" bestFit="1" customWidth="1"/>
    <col min="5" max="5" width="13.25" style="2" bestFit="1" customWidth="1"/>
    <col min="6" max="6" width="4.125" style="2" customWidth="1"/>
    <col min="7" max="14" width="12.125" style="2" bestFit="1" customWidth="1"/>
  </cols>
  <sheetData>
    <row r="1" spans="1:14">
      <c r="A1" s="1519" t="s">
        <v>0</v>
      </c>
      <c r="B1" s="1519" t="s">
        <v>1</v>
      </c>
      <c r="C1" s="1519" t="s">
        <v>13</v>
      </c>
      <c r="D1" s="1519"/>
      <c r="E1" s="610" t="s">
        <v>157</v>
      </c>
      <c r="F1" s="589"/>
      <c r="G1" s="1520" t="s">
        <v>247</v>
      </c>
      <c r="H1" s="1520"/>
      <c r="I1" s="1520"/>
      <c r="J1" s="1520"/>
      <c r="K1" s="1520"/>
      <c r="L1" s="1520"/>
      <c r="M1" s="1520"/>
      <c r="N1" s="1520"/>
    </row>
    <row r="2" spans="1:14">
      <c r="A2" s="1519"/>
      <c r="B2" s="1519"/>
      <c r="C2" s="615" t="s">
        <v>504</v>
      </c>
      <c r="D2" s="615" t="s">
        <v>56</v>
      </c>
      <c r="E2" s="610" t="s">
        <v>55</v>
      </c>
      <c r="F2" s="589"/>
      <c r="G2" s="616">
        <v>1</v>
      </c>
      <c r="H2" s="616">
        <v>2</v>
      </c>
      <c r="I2" s="616">
        <v>3</v>
      </c>
      <c r="J2" s="616">
        <v>4</v>
      </c>
      <c r="K2" s="616">
        <v>5</v>
      </c>
      <c r="L2" s="616">
        <v>6</v>
      </c>
      <c r="M2" s="616">
        <v>7</v>
      </c>
      <c r="N2" s="616">
        <v>8</v>
      </c>
    </row>
    <row r="3" spans="1:14" s="179" customFormat="1" ht="12">
      <c r="A3" s="590"/>
      <c r="B3" s="591"/>
      <c r="C3" s="591"/>
      <c r="D3" s="591"/>
      <c r="E3" s="592" t="s">
        <v>164</v>
      </c>
      <c r="F3" s="593"/>
      <c r="G3" s="593" t="s">
        <v>164</v>
      </c>
      <c r="H3" s="593" t="s">
        <v>164</v>
      </c>
      <c r="I3" s="593" t="s">
        <v>164</v>
      </c>
      <c r="J3" s="593" t="s">
        <v>164</v>
      </c>
      <c r="K3" s="593" t="s">
        <v>164</v>
      </c>
      <c r="L3" s="593" t="s">
        <v>164</v>
      </c>
      <c r="M3" s="593" t="s">
        <v>164</v>
      </c>
      <c r="N3" s="593" t="s">
        <v>164</v>
      </c>
    </row>
    <row r="4" spans="1:14">
      <c r="A4" s="369">
        <v>1</v>
      </c>
      <c r="B4" s="376" t="s">
        <v>505</v>
      </c>
      <c r="C4" s="293"/>
      <c r="D4" s="365"/>
      <c r="E4" s="594">
        <f>'01_JURIDICO'!X3</f>
        <v>170944.22947055</v>
      </c>
      <c r="F4" s="282"/>
      <c r="G4" s="282"/>
      <c r="H4" s="282"/>
      <c r="I4" s="282"/>
      <c r="J4" s="282"/>
      <c r="K4" s="282"/>
      <c r="L4" s="282"/>
      <c r="M4" s="282"/>
      <c r="N4" s="282"/>
    </row>
    <row r="5" spans="1:14">
      <c r="A5" s="369">
        <v>2</v>
      </c>
      <c r="B5" s="376" t="s">
        <v>506</v>
      </c>
      <c r="C5" s="293"/>
      <c r="D5" s="365"/>
      <c r="E5" s="594">
        <f>SUM(E6:E7)</f>
        <v>2903.4422</v>
      </c>
      <c r="F5" s="282"/>
      <c r="G5" s="282"/>
      <c r="H5" s="282"/>
      <c r="I5" s="282"/>
      <c r="J5" s="282"/>
      <c r="K5" s="282"/>
      <c r="L5" s="282"/>
      <c r="M5" s="282"/>
      <c r="N5" s="282"/>
    </row>
    <row r="6" spans="1:14">
      <c r="A6" s="364"/>
      <c r="B6" s="293" t="s">
        <v>507</v>
      </c>
      <c r="C6" s="293"/>
      <c r="D6" s="365"/>
      <c r="E6" s="282">
        <v>729.40740000000005</v>
      </c>
      <c r="F6" s="282"/>
      <c r="G6" s="282"/>
      <c r="H6" s="282"/>
      <c r="I6" s="282"/>
      <c r="J6" s="282"/>
      <c r="K6" s="282"/>
      <c r="L6" s="282"/>
      <c r="M6" s="282"/>
      <c r="N6" s="282"/>
    </row>
    <row r="7" spans="1:14">
      <c r="A7" s="364"/>
      <c r="B7" s="293" t="s">
        <v>508</v>
      </c>
      <c r="C7" s="293"/>
      <c r="D7" s="365"/>
      <c r="E7" s="282">
        <v>2174.0347999999999</v>
      </c>
      <c r="F7" s="282"/>
      <c r="G7" s="282"/>
      <c r="H7" s="282"/>
      <c r="I7" s="282"/>
      <c r="J7" s="282"/>
      <c r="K7" s="282"/>
      <c r="L7" s="282"/>
      <c r="M7" s="282"/>
      <c r="N7" s="282"/>
    </row>
    <row r="8" spans="1:14">
      <c r="A8" s="364">
        <v>3</v>
      </c>
      <c r="B8" s="294" t="s">
        <v>509</v>
      </c>
      <c r="C8" s="293"/>
      <c r="D8" s="365"/>
      <c r="E8" s="594">
        <f>SUM(E9)</f>
        <v>3264.0738000000001</v>
      </c>
      <c r="F8" s="282"/>
      <c r="G8" s="282"/>
      <c r="H8" s="282"/>
      <c r="I8" s="282"/>
      <c r="J8" s="282"/>
      <c r="K8" s="282"/>
      <c r="L8" s="282"/>
      <c r="M8" s="282"/>
      <c r="N8" s="282"/>
    </row>
    <row r="9" spans="1:14">
      <c r="A9" s="364"/>
      <c r="B9" s="293" t="s">
        <v>510</v>
      </c>
      <c r="C9" s="293"/>
      <c r="D9" s="365"/>
      <c r="E9" s="282">
        <v>3264.0738000000001</v>
      </c>
      <c r="F9" s="282"/>
      <c r="G9" s="282"/>
      <c r="H9" s="282"/>
      <c r="I9" s="282"/>
      <c r="J9" s="282"/>
      <c r="K9" s="282"/>
      <c r="L9" s="282"/>
      <c r="M9" s="282"/>
      <c r="N9" s="282"/>
    </row>
    <row r="10" spans="1:14">
      <c r="A10" s="364">
        <v>5</v>
      </c>
      <c r="B10" s="294" t="s">
        <v>511</v>
      </c>
      <c r="C10" s="293"/>
      <c r="D10" s="365"/>
      <c r="E10" s="595">
        <f>E4-SUM(E5,E8)</f>
        <v>164776.71347054999</v>
      </c>
      <c r="F10" s="282"/>
      <c r="G10" s="594">
        <f>'04c_Resumen_MO'!$B6</f>
        <v>17268.248534736002</v>
      </c>
      <c r="H10" s="594">
        <f>'04c_Resumen_MO'!$B7</f>
        <v>15602.531511536001</v>
      </c>
      <c r="I10" s="594">
        <f>'04c_Resumen_MO'!$B8</f>
        <v>19436.47454042</v>
      </c>
      <c r="J10" s="594">
        <f>'04c_Resumen_MO'!$B9</f>
        <v>25621.213912839001</v>
      </c>
      <c r="K10" s="594">
        <f>'04c_Resumen_MO'!$B10</f>
        <v>27038.024665190002</v>
      </c>
      <c r="L10" s="594">
        <f>'04c_Resumen_MO'!$B11</f>
        <v>21089.89942655</v>
      </c>
      <c r="M10" s="594">
        <f>'04c_Resumen_MO'!$B12</f>
        <v>23967.619699999999</v>
      </c>
      <c r="N10" s="594">
        <f>'04c_Resumen_MO'!$B13</f>
        <v>14752.6990159</v>
      </c>
    </row>
    <row r="11" spans="1:14">
      <c r="A11" s="364">
        <v>6</v>
      </c>
      <c r="B11" s="294" t="s">
        <v>59</v>
      </c>
      <c r="C11" s="293"/>
      <c r="D11" s="365"/>
      <c r="E11" s="282"/>
      <c r="F11" s="282"/>
      <c r="G11" s="282"/>
      <c r="H11" s="282"/>
      <c r="I11" s="282"/>
      <c r="J11" s="282"/>
      <c r="K11" s="282"/>
      <c r="L11" s="282"/>
      <c r="M11" s="282"/>
      <c r="N11" s="282"/>
    </row>
    <row r="12" spans="1:14">
      <c r="A12" s="364"/>
      <c r="B12" s="294" t="s">
        <v>512</v>
      </c>
      <c r="C12" s="596">
        <v>0.65</v>
      </c>
      <c r="D12" s="364" t="s">
        <v>220</v>
      </c>
      <c r="E12" s="594">
        <f>E10*C12</f>
        <v>107104.8637558575</v>
      </c>
      <c r="F12" s="282"/>
      <c r="G12" s="282"/>
      <c r="H12" s="282"/>
      <c r="I12" s="282"/>
      <c r="J12" s="282"/>
      <c r="K12" s="282"/>
      <c r="L12" s="282"/>
      <c r="M12" s="282"/>
      <c r="N12" s="282"/>
    </row>
    <row r="13" spans="1:14">
      <c r="A13" s="364"/>
      <c r="B13" s="294" t="s">
        <v>513</v>
      </c>
      <c r="C13" s="596">
        <f>E13/E10</f>
        <v>0.64999999146604925</v>
      </c>
      <c r="D13" s="364" t="s">
        <v>220</v>
      </c>
      <c r="E13" s="594">
        <f>SUM(G13:N13)</f>
        <v>107104.86234966114</v>
      </c>
      <c r="F13" s="282"/>
      <c r="G13" s="282">
        <f>'04c_Resumen_MO'!$F6</f>
        <v>12991.359347873164</v>
      </c>
      <c r="H13" s="282">
        <f>'04c_Resumen_MO'!$F7</f>
        <v>8702.187611575433</v>
      </c>
      <c r="I13" s="282">
        <f>'04c_Resumen_MO'!$F8</f>
        <v>12077.36637883454</v>
      </c>
      <c r="J13" s="282">
        <f>'04c_Resumen_MO'!$F9</f>
        <v>15182.673262073222</v>
      </c>
      <c r="K13" s="282">
        <f>'04c_Resumen_MO'!$F10</f>
        <v>18955.861884005404</v>
      </c>
      <c r="L13" s="282">
        <f>'04c_Resumen_MO'!$F11</f>
        <v>12504.37321928452</v>
      </c>
      <c r="M13" s="282">
        <f>'04c_Resumen_MO'!$F12</f>
        <v>16718.75728048266</v>
      </c>
      <c r="N13" s="282">
        <f>'04c_Resumen_MO'!$F13</f>
        <v>9972.2833655322029</v>
      </c>
    </row>
    <row r="14" spans="1:14">
      <c r="A14" s="364">
        <v>7</v>
      </c>
      <c r="B14" s="294" t="s">
        <v>514</v>
      </c>
      <c r="C14" s="293"/>
      <c r="D14" s="365"/>
      <c r="E14" s="594">
        <f>SUM(E15,E21)</f>
        <v>0</v>
      </c>
      <c r="F14" s="282"/>
      <c r="G14" s="594"/>
      <c r="H14" s="594"/>
      <c r="I14" s="594"/>
      <c r="J14" s="594"/>
      <c r="K14" s="594"/>
      <c r="L14" s="594"/>
      <c r="M14" s="594"/>
      <c r="N14" s="282"/>
    </row>
    <row r="15" spans="1:14">
      <c r="A15" s="364"/>
      <c r="B15" s="294" t="s">
        <v>515</v>
      </c>
      <c r="C15" s="293"/>
      <c r="D15" s="365"/>
      <c r="E15" s="594">
        <f>SUM(G15:N15)</f>
        <v>0</v>
      </c>
      <c r="F15" s="282"/>
      <c r="G15" s="594">
        <v>0</v>
      </c>
      <c r="H15" s="594">
        <v>0</v>
      </c>
      <c r="I15" s="594">
        <v>0</v>
      </c>
      <c r="J15" s="594">
        <v>0</v>
      </c>
      <c r="K15" s="594">
        <v>0</v>
      </c>
      <c r="L15" s="594">
        <v>0</v>
      </c>
      <c r="M15" s="594">
        <v>0</v>
      </c>
      <c r="N15" s="594">
        <v>0</v>
      </c>
    </row>
    <row r="16" spans="1:14">
      <c r="A16" s="364"/>
      <c r="B16" s="293" t="s">
        <v>516</v>
      </c>
      <c r="C16" s="293"/>
      <c r="D16" s="365"/>
      <c r="E16" s="282">
        <f>SUM(G16:N16)</f>
        <v>0</v>
      </c>
      <c r="F16" s="282"/>
      <c r="G16" s="282"/>
      <c r="H16" s="282"/>
      <c r="I16" s="282"/>
      <c r="J16" s="282"/>
      <c r="K16" s="282"/>
      <c r="L16" s="282"/>
      <c r="M16" s="282"/>
      <c r="N16" s="282"/>
    </row>
    <row r="17" spans="1:14">
      <c r="A17" s="364"/>
      <c r="B17" s="293" t="s">
        <v>517</v>
      </c>
      <c r="C17" s="293"/>
      <c r="D17" s="365"/>
      <c r="E17" s="282">
        <f t="shared" ref="E17:E20" si="0">SUM(G17:N17)</f>
        <v>0</v>
      </c>
      <c r="F17" s="282"/>
      <c r="G17" s="282"/>
      <c r="H17" s="282"/>
      <c r="I17" s="282"/>
      <c r="J17" s="282"/>
      <c r="K17" s="282"/>
      <c r="L17" s="282"/>
      <c r="M17" s="282"/>
      <c r="N17" s="282"/>
    </row>
    <row r="18" spans="1:14">
      <c r="A18" s="364"/>
      <c r="B18" s="293" t="s">
        <v>518</v>
      </c>
      <c r="C18" s="293"/>
      <c r="D18" s="365"/>
      <c r="E18" s="282">
        <f t="shared" si="0"/>
        <v>0</v>
      </c>
      <c r="F18" s="282"/>
      <c r="G18" s="282"/>
      <c r="H18" s="282"/>
      <c r="I18" s="282"/>
      <c r="J18" s="282"/>
      <c r="K18" s="282"/>
      <c r="L18" s="282"/>
      <c r="M18" s="282"/>
      <c r="N18" s="282"/>
    </row>
    <row r="19" spans="1:14">
      <c r="A19" s="364"/>
      <c r="B19" s="293" t="s">
        <v>519</v>
      </c>
      <c r="C19" s="293"/>
      <c r="D19" s="365"/>
      <c r="E19" s="282">
        <f t="shared" si="0"/>
        <v>0</v>
      </c>
      <c r="F19" s="282"/>
      <c r="G19" s="282"/>
      <c r="H19" s="282"/>
      <c r="I19" s="282"/>
      <c r="J19" s="282"/>
      <c r="K19" s="282"/>
      <c r="L19" s="282"/>
      <c r="M19" s="282"/>
      <c r="N19" s="282"/>
    </row>
    <row r="20" spans="1:14">
      <c r="A20" s="364"/>
      <c r="B20" s="293" t="s">
        <v>520</v>
      </c>
      <c r="C20" s="293"/>
      <c r="D20" s="365"/>
      <c r="E20" s="282">
        <f t="shared" si="0"/>
        <v>0</v>
      </c>
      <c r="F20" s="282"/>
      <c r="G20" s="282"/>
      <c r="H20" s="282"/>
      <c r="I20" s="282"/>
      <c r="J20" s="282"/>
      <c r="K20" s="282"/>
      <c r="L20" s="282"/>
      <c r="M20" s="282"/>
      <c r="N20" s="282"/>
    </row>
    <row r="21" spans="1:14">
      <c r="A21" s="364"/>
      <c r="B21" s="294" t="s">
        <v>521</v>
      </c>
      <c r="C21" s="294"/>
      <c r="D21" s="364"/>
      <c r="E21" s="594">
        <f>SUM(E22)</f>
        <v>0</v>
      </c>
      <c r="F21" s="594"/>
      <c r="G21" s="594"/>
      <c r="H21" s="594"/>
      <c r="I21" s="594"/>
      <c r="J21" s="594"/>
      <c r="K21" s="594"/>
      <c r="L21" s="594"/>
      <c r="M21" s="594"/>
      <c r="N21" s="282"/>
    </row>
    <row r="22" spans="1:14">
      <c r="A22" s="364"/>
      <c r="B22" s="293" t="s">
        <v>522</v>
      </c>
      <c r="C22" s="293"/>
      <c r="D22" s="365"/>
      <c r="E22" s="282">
        <f>SUM(G22:M22)</f>
        <v>0</v>
      </c>
      <c r="F22" s="282"/>
      <c r="G22" s="282">
        <v>0</v>
      </c>
      <c r="H22" s="282">
        <v>0</v>
      </c>
      <c r="I22" s="282">
        <v>0</v>
      </c>
      <c r="J22" s="282">
        <v>0</v>
      </c>
      <c r="K22" s="282">
        <v>0</v>
      </c>
      <c r="L22" s="282">
        <v>0</v>
      </c>
      <c r="M22" s="282">
        <v>0</v>
      </c>
      <c r="N22" s="282">
        <v>0</v>
      </c>
    </row>
    <row r="23" spans="1:14">
      <c r="A23" s="364">
        <v>8</v>
      </c>
      <c r="B23" s="294" t="s">
        <v>523</v>
      </c>
      <c r="C23" s="293"/>
      <c r="D23" s="365"/>
      <c r="E23" s="595">
        <f>E10-E14</f>
        <v>164776.71347054999</v>
      </c>
      <c r="F23" s="282"/>
      <c r="G23" s="594">
        <f t="shared" ref="G23:N23" si="1">G10-G14</f>
        <v>17268.248534736002</v>
      </c>
      <c r="H23" s="594">
        <f t="shared" si="1"/>
        <v>15602.531511536001</v>
      </c>
      <c r="I23" s="594">
        <f t="shared" si="1"/>
        <v>19436.47454042</v>
      </c>
      <c r="J23" s="594">
        <f t="shared" si="1"/>
        <v>25621.213912839001</v>
      </c>
      <c r="K23" s="594">
        <f t="shared" si="1"/>
        <v>27038.024665190002</v>
      </c>
      <c r="L23" s="594">
        <f t="shared" si="1"/>
        <v>21089.89942655</v>
      </c>
      <c r="M23" s="594">
        <f t="shared" si="1"/>
        <v>23967.619699999999</v>
      </c>
      <c r="N23" s="594">
        <f t="shared" si="1"/>
        <v>14752.6990159</v>
      </c>
    </row>
    <row r="24" spans="1:14">
      <c r="A24" s="364">
        <v>10</v>
      </c>
      <c r="B24" s="294" t="s">
        <v>524</v>
      </c>
      <c r="C24" s="293"/>
      <c r="D24" s="365"/>
      <c r="E24" s="594">
        <f>SUM(G24:M24)</f>
        <v>0</v>
      </c>
      <c r="F24" s="282"/>
      <c r="G24" s="282">
        <v>0</v>
      </c>
      <c r="H24" s="282">
        <v>0</v>
      </c>
      <c r="I24" s="282">
        <v>0</v>
      </c>
      <c r="J24" s="282">
        <v>0</v>
      </c>
      <c r="K24" s="282">
        <v>0</v>
      </c>
      <c r="L24" s="282">
        <v>0</v>
      </c>
      <c r="M24" s="282">
        <v>0</v>
      </c>
      <c r="N24" s="282">
        <v>0</v>
      </c>
    </row>
    <row r="25" spans="1:14">
      <c r="A25" s="364">
        <v>11</v>
      </c>
      <c r="B25" s="294" t="s">
        <v>525</v>
      </c>
      <c r="C25" s="293"/>
      <c r="D25" s="365"/>
      <c r="E25" s="594">
        <f>E23-E24</f>
        <v>164776.71347054999</v>
      </c>
      <c r="F25" s="282"/>
      <c r="G25" s="594">
        <f>G23-G24</f>
        <v>17268.248534736002</v>
      </c>
      <c r="H25" s="594">
        <f t="shared" ref="H25:N25" si="2">H23-H24</f>
        <v>15602.531511536001</v>
      </c>
      <c r="I25" s="594">
        <f t="shared" si="2"/>
        <v>19436.47454042</v>
      </c>
      <c r="J25" s="594">
        <f t="shared" si="2"/>
        <v>25621.213912839001</v>
      </c>
      <c r="K25" s="594">
        <f t="shared" si="2"/>
        <v>27038.024665190002</v>
      </c>
      <c r="L25" s="594">
        <f t="shared" si="2"/>
        <v>21089.89942655</v>
      </c>
      <c r="M25" s="594">
        <f t="shared" si="2"/>
        <v>23967.619699999999</v>
      </c>
      <c r="N25" s="594">
        <f t="shared" si="2"/>
        <v>14752.6990159</v>
      </c>
    </row>
    <row r="26" spans="1:14">
      <c r="A26" s="364">
        <v>12</v>
      </c>
      <c r="B26" s="294" t="s">
        <v>526</v>
      </c>
      <c r="C26" s="293"/>
      <c r="D26" s="365"/>
      <c r="E26" s="594">
        <f>SUM(E27:E29)</f>
        <v>107104.86234966115</v>
      </c>
      <c r="F26" s="282"/>
      <c r="G26" s="594">
        <f t="shared" ref="G26:N26" si="3">SUM(G27:G29)</f>
        <v>12991.359347873164</v>
      </c>
      <c r="H26" s="594">
        <f t="shared" si="3"/>
        <v>8702.187611575433</v>
      </c>
      <c r="I26" s="594">
        <f t="shared" si="3"/>
        <v>12077.36637883454</v>
      </c>
      <c r="J26" s="594">
        <f t="shared" si="3"/>
        <v>15182.673262073222</v>
      </c>
      <c r="K26" s="594">
        <f t="shared" si="3"/>
        <v>18955.861884005404</v>
      </c>
      <c r="L26" s="594">
        <f t="shared" si="3"/>
        <v>12504.37321928452</v>
      </c>
      <c r="M26" s="594">
        <f t="shared" si="3"/>
        <v>16718.75728048266</v>
      </c>
      <c r="N26" s="594">
        <f t="shared" si="3"/>
        <v>9972.2833655322029</v>
      </c>
    </row>
    <row r="27" spans="1:14">
      <c r="A27" s="364"/>
      <c r="B27" s="293" t="s">
        <v>527</v>
      </c>
      <c r="C27" s="293"/>
      <c r="D27" s="365"/>
      <c r="E27" s="282">
        <f>SUM(G27:N27)</f>
        <v>29501.324060209015</v>
      </c>
      <c r="F27" s="594"/>
      <c r="G27" s="282">
        <f>'04c_Resumen_MO'!$C6</f>
        <v>4744.8667466265179</v>
      </c>
      <c r="H27" s="282">
        <f>'04c_Resumen_MO'!$C7</f>
        <v>1166.9775073831811</v>
      </c>
      <c r="I27" s="282">
        <f>'04c_Resumen_MO'!$C8</f>
        <v>2936.0801443705127</v>
      </c>
      <c r="J27" s="282">
        <f>'04c_Resumen_MO'!$C9</f>
        <v>6313.2384713358988</v>
      </c>
      <c r="K27" s="282">
        <f>'04c_Resumen_MO'!$C10</f>
        <v>2870.317660930994</v>
      </c>
      <c r="L27" s="282">
        <f>'04c_Resumen_MO'!$C11</f>
        <v>5562.2636057221716</v>
      </c>
      <c r="M27" s="282">
        <f>'04c_Resumen_MO'!$C12</f>
        <v>3251.2337344159237</v>
      </c>
      <c r="N27" s="282">
        <f>'04c_Resumen_MO'!$C13</f>
        <v>2656.3461894238176</v>
      </c>
    </row>
    <row r="28" spans="1:14">
      <c r="A28" s="364"/>
      <c r="B28" s="293" t="s">
        <v>528</v>
      </c>
      <c r="C28" s="293"/>
      <c r="D28" s="365"/>
      <c r="E28" s="282">
        <f>SUM(G28:N28)</f>
        <v>72340.479065592706</v>
      </c>
      <c r="F28" s="594"/>
      <c r="G28" s="282">
        <f>'04c_Resumen_MO'!D6</f>
        <v>8246.4926012466458</v>
      </c>
      <c r="H28" s="282">
        <f>'04c_Resumen_MO'!D7</f>
        <v>7535.2101041922524</v>
      </c>
      <c r="I28" s="282">
        <f>'04c_Resumen_MO'!D8</f>
        <v>9141.2862344640271</v>
      </c>
      <c r="J28" s="282">
        <f>'04c_Resumen_MO'!D9</f>
        <v>8869.4347907373231</v>
      </c>
      <c r="K28" s="282">
        <f>'04c_Resumen_MO'!D10</f>
        <v>13279.248504517975</v>
      </c>
      <c r="L28" s="282">
        <f>'04c_Resumen_MO'!D11</f>
        <v>6942.1096135623484</v>
      </c>
      <c r="M28" s="282">
        <f>'04c_Resumen_MO'!D12</f>
        <v>11010.760040763742</v>
      </c>
      <c r="N28" s="282">
        <f>'04c_Resumen_MO'!D13</f>
        <v>7315.9371761083858</v>
      </c>
    </row>
    <row r="29" spans="1:14">
      <c r="A29" s="364"/>
      <c r="B29" s="293" t="s">
        <v>529</v>
      </c>
      <c r="C29" s="597">
        <f>E29/E10</f>
        <v>3.1940552235859933E-2</v>
      </c>
      <c r="D29" s="365"/>
      <c r="E29" s="282">
        <f>SUM(G29:N29)</f>
        <v>5263.0592238594272</v>
      </c>
      <c r="F29" s="594"/>
      <c r="G29" s="594">
        <f>'04c_Resumen_MO'!$E6</f>
        <v>0</v>
      </c>
      <c r="H29" s="594">
        <f>'04c_Resumen_MO'!$E7</f>
        <v>0</v>
      </c>
      <c r="I29" s="594">
        <f>'04c_Resumen_MO'!$E8</f>
        <v>0</v>
      </c>
      <c r="J29" s="594">
        <f>'04c_Resumen_MO'!$E9</f>
        <v>0</v>
      </c>
      <c r="K29" s="594">
        <f>'04c_Resumen_MO'!$E10</f>
        <v>2806.2957185564351</v>
      </c>
      <c r="L29" s="594">
        <f>'04c_Resumen_MO'!$E11</f>
        <v>0</v>
      </c>
      <c r="M29" s="594">
        <f>'04c_Resumen_MO'!$E12</f>
        <v>2456.7635053029921</v>
      </c>
      <c r="N29" s="594">
        <f>'04c_Resumen_MO'!$E13</f>
        <v>0</v>
      </c>
    </row>
    <row r="30" spans="1:14">
      <c r="A30" s="364"/>
      <c r="B30" s="293"/>
      <c r="C30" s="598"/>
      <c r="D30" s="365"/>
      <c r="E30" s="282"/>
      <c r="F30" s="594"/>
      <c r="G30" s="594"/>
      <c r="H30" s="594"/>
      <c r="I30" s="594"/>
      <c r="J30" s="594"/>
      <c r="K30" s="594"/>
      <c r="L30" s="594"/>
      <c r="M30" s="594"/>
      <c r="N30" s="594"/>
    </row>
    <row r="31" spans="1:14">
      <c r="A31" s="364">
        <v>13</v>
      </c>
      <c r="B31" s="294" t="s">
        <v>530</v>
      </c>
      <c r="C31" s="293"/>
      <c r="D31" s="365"/>
      <c r="E31" s="594">
        <f>SUM(G31:N31)</f>
        <v>57671.848957509857</v>
      </c>
      <c r="F31" s="282"/>
      <c r="G31" s="594">
        <f t="shared" ref="G31:N31" si="4">G23-G26</f>
        <v>4276.889186862838</v>
      </c>
      <c r="H31" s="594">
        <f t="shared" si="4"/>
        <v>6900.3438999605678</v>
      </c>
      <c r="I31" s="594">
        <f t="shared" si="4"/>
        <v>7359.10816158546</v>
      </c>
      <c r="J31" s="594">
        <f t="shared" si="4"/>
        <v>10438.540650765779</v>
      </c>
      <c r="K31" s="594">
        <f t="shared" si="4"/>
        <v>8082.1627811845974</v>
      </c>
      <c r="L31" s="594">
        <f t="shared" si="4"/>
        <v>8585.5262072654805</v>
      </c>
      <c r="M31" s="594">
        <f t="shared" si="4"/>
        <v>7248.8624195173397</v>
      </c>
      <c r="N31" s="594">
        <f t="shared" si="4"/>
        <v>4780.4156503677968</v>
      </c>
    </row>
    <row r="32" spans="1:14">
      <c r="A32" s="364"/>
      <c r="B32" s="294"/>
      <c r="C32" s="293"/>
      <c r="D32" s="365"/>
      <c r="E32" s="594"/>
      <c r="F32" s="282"/>
      <c r="G32" s="594"/>
      <c r="H32" s="594"/>
      <c r="I32" s="594"/>
      <c r="J32" s="594"/>
      <c r="K32" s="594"/>
      <c r="L32" s="594"/>
      <c r="M32" s="594"/>
      <c r="N32" s="594"/>
    </row>
    <row r="33" spans="1:14">
      <c r="A33" s="364">
        <v>14</v>
      </c>
      <c r="B33" s="294" t="s">
        <v>531</v>
      </c>
      <c r="C33" s="293"/>
      <c r="D33" s="365"/>
      <c r="E33" s="594">
        <f>SUM(G33:N33)</f>
        <v>13723.80470659296</v>
      </c>
      <c r="F33" s="282"/>
      <c r="G33" s="282">
        <f>'04c_Resumen_MO'!$H6</f>
        <v>1355.7527193899618</v>
      </c>
      <c r="H33" s="282">
        <f>'04c_Resumen_MO'!$H7</f>
        <v>1807.5715171192551</v>
      </c>
      <c r="I33" s="282">
        <f>'04c_Resumen_MO'!$H8</f>
        <v>1927.30540823921</v>
      </c>
      <c r="J33" s="282">
        <f>'04c_Resumen_MO'!$H9</f>
        <v>2305.0707388953133</v>
      </c>
      <c r="K33" s="282">
        <f>'04c_Resumen_MO'!$H10</f>
        <v>2084.0473711146669</v>
      </c>
      <c r="L33" s="282">
        <f>'04c_Resumen_MO'!$H11</f>
        <v>1905.1278876901943</v>
      </c>
      <c r="M33" s="282">
        <f>'04c_Resumen_MO'!$H12</f>
        <v>983.66140280594755</v>
      </c>
      <c r="N33" s="282">
        <f>'04c_Resumen_MO'!$H13</f>
        <v>1355.267661338411</v>
      </c>
    </row>
    <row r="34" spans="1:14">
      <c r="A34" s="364">
        <v>15</v>
      </c>
      <c r="B34" s="294" t="s">
        <v>532</v>
      </c>
      <c r="C34" s="293"/>
      <c r="D34" s="365"/>
      <c r="E34" s="594">
        <f>SUM(G34:N34)</f>
        <v>43948.044250916901</v>
      </c>
      <c r="F34" s="282"/>
      <c r="G34" s="282">
        <f>G31-G33</f>
        <v>2921.1364674728761</v>
      </c>
      <c r="H34" s="282">
        <f t="shared" ref="H34:N34" si="5">H31-H33</f>
        <v>5092.7723828413127</v>
      </c>
      <c r="I34" s="282">
        <f t="shared" si="5"/>
        <v>5431.80275334625</v>
      </c>
      <c r="J34" s="282">
        <f t="shared" si="5"/>
        <v>8133.4699118704657</v>
      </c>
      <c r="K34" s="282">
        <f t="shared" si="5"/>
        <v>5998.1154100699305</v>
      </c>
      <c r="L34" s="282">
        <f t="shared" si="5"/>
        <v>6680.3983195752862</v>
      </c>
      <c r="M34" s="282">
        <f t="shared" si="5"/>
        <v>6265.2010167113922</v>
      </c>
      <c r="N34" s="282">
        <f t="shared" si="5"/>
        <v>3425.1479890293858</v>
      </c>
    </row>
  </sheetData>
  <mergeCells count="4">
    <mergeCell ref="A1:A2"/>
    <mergeCell ref="B1:B2"/>
    <mergeCell ref="C1:D1"/>
    <mergeCell ref="G1:N1"/>
  </mergeCells>
  <phoneticPr fontId="43" type="noConversion"/>
  <pageMargins left="0.7" right="0.7" top="0.75" bottom="0.75" header="0.3" footer="0.3"/>
  <ignoredErrors>
    <ignoredError sqref="E21 E25 E14 E23" formula="1"/>
    <ignoredError sqref="E22 E24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75B2-225F-4B24-9BE1-A8991C979BF6}">
  <dimension ref="A1:BC54"/>
  <sheetViews>
    <sheetView topLeftCell="A6" zoomScale="115" zoomScaleNormal="115" workbookViewId="0">
      <selection activeCell="M1" sqref="M1:M3"/>
    </sheetView>
  </sheetViews>
  <sheetFormatPr defaultColWidth="11.375" defaultRowHeight="13.9"/>
  <cols>
    <col min="1" max="1" width="15.25" style="4" bestFit="1" customWidth="1"/>
    <col min="2" max="2" width="14.375" style="4" customWidth="1"/>
    <col min="3" max="3" width="10" style="4" customWidth="1"/>
    <col min="4" max="4" width="18.625" style="4" customWidth="1"/>
    <col min="5" max="5" width="17.125" style="4" bestFit="1" customWidth="1"/>
    <col min="6" max="6" width="20.25" style="4" bestFit="1" customWidth="1"/>
    <col min="7" max="7" width="15.375" style="4" bestFit="1" customWidth="1"/>
    <col min="8" max="8" width="14.25" style="4" bestFit="1" customWidth="1"/>
    <col min="9" max="9" width="14.875" style="5" bestFit="1" customWidth="1"/>
    <col min="10" max="10" width="33.125" style="4" bestFit="1" customWidth="1"/>
    <col min="11" max="11" width="14.375" style="4" bestFit="1" customWidth="1"/>
    <col min="12" max="12" width="71.125" style="4" bestFit="1" customWidth="1"/>
    <col min="13" max="13" width="29" style="20" bestFit="1" customWidth="1"/>
    <col min="14" max="14" width="3.625" style="5" bestFit="1" customWidth="1"/>
    <col min="15" max="15" width="13.125" style="5" bestFit="1" customWidth="1"/>
    <col min="16" max="16" width="15.75" style="5" bestFit="1" customWidth="1"/>
    <col min="17" max="17" width="5.125" style="36" customWidth="1"/>
    <col min="18" max="18" width="6.25" style="7" bestFit="1" customWidth="1"/>
    <col min="19" max="19" width="14.375" style="7" bestFit="1" customWidth="1"/>
    <col min="20" max="20" width="15.75" style="7" bestFit="1" customWidth="1"/>
    <col min="21" max="21" width="7.125" style="17" bestFit="1" customWidth="1"/>
    <col min="22" max="22" width="13.25" style="7" bestFit="1" customWidth="1"/>
    <col min="23" max="23" width="16" style="7" bestFit="1" customWidth="1"/>
    <col min="24" max="24" width="58.125" style="25" bestFit="1" customWidth="1"/>
    <col min="25" max="25" width="8.625" style="25" customWidth="1"/>
    <col min="26" max="26" width="15" style="5" bestFit="1" customWidth="1"/>
    <col min="27" max="27" width="15.125" style="5" bestFit="1" customWidth="1"/>
    <col min="28" max="28" width="13.75" style="5" bestFit="1" customWidth="1"/>
    <col min="29" max="29" width="15" style="33" bestFit="1" customWidth="1"/>
    <col min="30" max="30" width="15.125" style="33" bestFit="1" customWidth="1"/>
    <col min="31" max="31" width="19.125" style="34" customWidth="1"/>
    <col min="32" max="32" width="19.25" style="34" bestFit="1" customWidth="1"/>
    <col min="33" max="33" width="10.875" style="162" customWidth="1"/>
    <col min="34" max="35" width="12.125" style="7" bestFit="1" customWidth="1"/>
    <col min="36" max="36" width="11" style="7" bestFit="1" customWidth="1"/>
    <col min="37" max="37" width="13.25" style="7" bestFit="1" customWidth="1"/>
    <col min="38" max="38" width="14.375" style="7" bestFit="1" customWidth="1"/>
    <col min="39" max="39" width="16.375" style="7" customWidth="1"/>
    <col min="40" max="40" width="17.875" style="7" customWidth="1"/>
    <col min="41" max="41" width="11" style="7" bestFit="1" customWidth="1"/>
    <col min="42" max="42" width="6.375" style="7" bestFit="1" customWidth="1"/>
    <col min="43" max="43" width="15.875" style="7" bestFit="1" customWidth="1"/>
    <col min="44" max="44" width="16.125" style="7" bestFit="1" customWidth="1"/>
    <col min="45" max="45" width="16.875" style="5" bestFit="1" customWidth="1"/>
    <col min="46" max="46" width="15.125" style="7" bestFit="1" customWidth="1"/>
    <col min="47" max="47" width="13.75" style="7" bestFit="1" customWidth="1"/>
    <col min="48" max="48" width="15" style="7" bestFit="1" customWidth="1"/>
    <col min="49" max="49" width="19" style="5" bestFit="1" customWidth="1"/>
    <col min="50" max="50" width="19" style="5" customWidth="1"/>
    <col min="51" max="51" width="14.75" style="7" bestFit="1" customWidth="1"/>
    <col min="52" max="52" width="4.125" style="7" customWidth="1"/>
    <col min="53" max="53" width="11.375" style="7"/>
    <col min="54" max="54" width="14.625" style="7" bestFit="1" customWidth="1"/>
    <col min="55" max="55" width="15" style="7" bestFit="1" customWidth="1"/>
    <col min="56" max="16384" width="11.375" style="7"/>
  </cols>
  <sheetData>
    <row r="1" spans="1:55" ht="25.15">
      <c r="A1" s="1517" t="s">
        <v>533</v>
      </c>
      <c r="B1" s="1517"/>
      <c r="C1" s="1517"/>
      <c r="D1" s="1517"/>
      <c r="E1" s="1517"/>
      <c r="F1" s="1517"/>
      <c r="G1" s="1517"/>
      <c r="H1" s="1517"/>
      <c r="I1" s="1517"/>
      <c r="J1" s="1521" t="s">
        <v>534</v>
      </c>
      <c r="K1" s="1521"/>
      <c r="L1" s="1521"/>
      <c r="M1" s="1516" t="s">
        <v>533</v>
      </c>
      <c r="N1" s="1531" t="s">
        <v>315</v>
      </c>
      <c r="O1" s="1532"/>
      <c r="P1" s="1528" t="s">
        <v>535</v>
      </c>
      <c r="R1" s="1523" t="s">
        <v>536</v>
      </c>
      <c r="S1" s="1523"/>
      <c r="T1" s="1523"/>
      <c r="U1" s="1523"/>
      <c r="V1" s="1523"/>
      <c r="W1" s="1523"/>
      <c r="X1" s="1523"/>
      <c r="Y1" s="1523"/>
      <c r="Z1" s="1523"/>
      <c r="AA1" s="1523"/>
      <c r="AB1" s="1523"/>
      <c r="AC1" s="1523"/>
      <c r="AD1" s="1523"/>
      <c r="AE1" s="1523"/>
      <c r="AF1" s="1523"/>
      <c r="AG1" s="1523"/>
      <c r="AH1" s="1523"/>
      <c r="AI1" s="1523"/>
      <c r="AJ1" s="1523"/>
      <c r="AK1" s="1523"/>
      <c r="AL1" s="1523"/>
      <c r="AM1" s="1523"/>
      <c r="AN1" s="1523"/>
      <c r="AO1" s="1523"/>
      <c r="AP1" s="1523"/>
      <c r="AQ1" s="1523"/>
      <c r="AR1" s="1523"/>
      <c r="AS1" s="1523"/>
      <c r="AT1" s="1523"/>
      <c r="AU1" s="1523"/>
      <c r="AV1" s="1523"/>
      <c r="AW1" s="1523"/>
      <c r="AX1" s="1523"/>
      <c r="AY1" s="1523"/>
      <c r="AZ1" s="90"/>
    </row>
    <row r="2" spans="1:55" ht="25.5" customHeight="1">
      <c r="A2" s="1517"/>
      <c r="B2" s="1517"/>
      <c r="C2" s="1517"/>
      <c r="D2" s="1517"/>
      <c r="E2" s="1517"/>
      <c r="F2" s="1517"/>
      <c r="G2" s="1517"/>
      <c r="H2" s="1517"/>
      <c r="I2" s="1517"/>
      <c r="J2" s="1521"/>
      <c r="K2" s="1521"/>
      <c r="L2" s="1521"/>
      <c r="M2" s="1516"/>
      <c r="N2" s="1531"/>
      <c r="O2" s="1532"/>
      <c r="P2" s="1528"/>
      <c r="R2" s="1524" t="s">
        <v>247</v>
      </c>
      <c r="S2" s="1524"/>
      <c r="T2" s="1524"/>
      <c r="U2" s="1524"/>
      <c r="V2" s="1524"/>
      <c r="W2" s="1524"/>
      <c r="X2" s="1524"/>
      <c r="Y2" s="617"/>
      <c r="Z2" s="1533" t="s">
        <v>537</v>
      </c>
      <c r="AA2" s="1533"/>
      <c r="AB2" s="1533"/>
      <c r="AC2" s="1533"/>
      <c r="AD2" s="1533"/>
      <c r="AE2" s="1533"/>
      <c r="AF2" s="1533"/>
      <c r="AG2" s="618"/>
      <c r="AH2" s="1533" t="s">
        <v>538</v>
      </c>
      <c r="AI2" s="1533"/>
      <c r="AJ2" s="1533"/>
      <c r="AK2" s="1533"/>
      <c r="AL2" s="1533"/>
      <c r="AM2" s="1533"/>
      <c r="AN2" s="1533"/>
      <c r="AO2" s="617"/>
      <c r="AP2" s="1533" t="s">
        <v>539</v>
      </c>
      <c r="AQ2" s="1533"/>
      <c r="AR2" s="1533"/>
      <c r="AS2" s="1533"/>
      <c r="AT2" s="1533"/>
      <c r="AU2" s="1533"/>
      <c r="AV2" s="1533"/>
      <c r="AW2" s="1533"/>
      <c r="AX2" s="1533"/>
      <c r="AY2" s="1533"/>
      <c r="AZ2" s="90"/>
    </row>
    <row r="3" spans="1:55" ht="27.75" customHeight="1">
      <c r="A3" s="1517"/>
      <c r="B3" s="1517"/>
      <c r="C3" s="1517"/>
      <c r="D3" s="1517"/>
      <c r="E3" s="1517"/>
      <c r="F3" s="1517"/>
      <c r="G3" s="1517"/>
      <c r="H3" s="1517"/>
      <c r="I3" s="1517"/>
      <c r="J3" s="1522"/>
      <c r="K3" s="1522"/>
      <c r="L3" s="1522"/>
      <c r="M3" s="1516"/>
      <c r="N3" s="1531"/>
      <c r="O3" s="1532"/>
      <c r="P3" s="1529"/>
      <c r="Q3" s="35"/>
      <c r="R3" s="1524"/>
      <c r="S3" s="1524"/>
      <c r="T3" s="1524"/>
      <c r="U3" s="1524"/>
      <c r="V3" s="1524"/>
      <c r="W3" s="1524"/>
      <c r="X3" s="1524"/>
      <c r="Y3" s="369"/>
      <c r="Z3" s="1525" t="s">
        <v>540</v>
      </c>
      <c r="AA3" s="1525"/>
      <c r="AB3" s="1525"/>
      <c r="AC3" s="1525"/>
      <c r="AD3" s="619" t="s">
        <v>541</v>
      </c>
      <c r="AE3" s="619"/>
      <c r="AF3" s="619"/>
      <c r="AG3" s="620"/>
      <c r="AH3" s="1525" t="s">
        <v>540</v>
      </c>
      <c r="AI3" s="1525"/>
      <c r="AJ3" s="1525"/>
      <c r="AK3" s="1525"/>
      <c r="AL3" s="619" t="s">
        <v>541</v>
      </c>
      <c r="AM3" s="619"/>
      <c r="AN3" s="619"/>
      <c r="AO3" s="621"/>
      <c r="AP3" s="1527" t="s">
        <v>247</v>
      </c>
      <c r="AQ3" s="1527"/>
      <c r="AR3" s="1527"/>
      <c r="AS3" s="1525" t="s">
        <v>540</v>
      </c>
      <c r="AT3" s="1525"/>
      <c r="AU3" s="1525"/>
      <c r="AV3" s="1525"/>
      <c r="AW3" s="1526" t="s">
        <v>541</v>
      </c>
      <c r="AX3" s="1526"/>
      <c r="AY3" s="1526"/>
    </row>
    <row r="4" spans="1:55" s="3" customFormat="1" ht="27.6">
      <c r="A4" s="609" t="s">
        <v>291</v>
      </c>
      <c r="B4" s="609" t="s">
        <v>292</v>
      </c>
      <c r="C4" s="609" t="s">
        <v>293</v>
      </c>
      <c r="D4" s="609" t="s">
        <v>294</v>
      </c>
      <c r="E4" s="609" t="s">
        <v>295</v>
      </c>
      <c r="F4" s="609" t="s">
        <v>296</v>
      </c>
      <c r="G4" s="609" t="s">
        <v>298</v>
      </c>
      <c r="H4" s="609" t="s">
        <v>299</v>
      </c>
      <c r="I4" s="610" t="s">
        <v>300</v>
      </c>
      <c r="J4" s="599" t="s">
        <v>306</v>
      </c>
      <c r="K4" s="555" t="s">
        <v>308</v>
      </c>
      <c r="L4" s="600" t="s">
        <v>310</v>
      </c>
      <c r="M4" s="611" t="s">
        <v>314</v>
      </c>
      <c r="N4" s="1531"/>
      <c r="O4" s="1532"/>
      <c r="P4" s="1530"/>
      <c r="Q4" s="26"/>
      <c r="R4" s="367" t="s">
        <v>254</v>
      </c>
      <c r="S4" s="367" t="s">
        <v>256</v>
      </c>
      <c r="T4" s="367" t="s">
        <v>542</v>
      </c>
      <c r="U4" s="622" t="s">
        <v>543</v>
      </c>
      <c r="V4" s="367" t="s">
        <v>544</v>
      </c>
      <c r="W4" s="191" t="s">
        <v>545</v>
      </c>
      <c r="X4" s="191" t="s">
        <v>310</v>
      </c>
      <c r="Y4" s="192"/>
      <c r="Z4" s="623" t="s">
        <v>546</v>
      </c>
      <c r="AA4" s="623" t="s">
        <v>547</v>
      </c>
      <c r="AB4" s="623" t="s">
        <v>548</v>
      </c>
      <c r="AC4" s="623" t="s">
        <v>259</v>
      </c>
      <c r="AD4" s="624" t="s">
        <v>549</v>
      </c>
      <c r="AE4" s="625" t="s">
        <v>550</v>
      </c>
      <c r="AF4" s="625" t="s">
        <v>551</v>
      </c>
      <c r="AG4" s="398" t="s">
        <v>552</v>
      </c>
      <c r="AH4" s="623" t="s">
        <v>546</v>
      </c>
      <c r="AI4" s="623" t="s">
        <v>547</v>
      </c>
      <c r="AJ4" s="623" t="s">
        <v>548</v>
      </c>
      <c r="AK4" s="623" t="s">
        <v>259</v>
      </c>
      <c r="AL4" s="624" t="s">
        <v>549</v>
      </c>
      <c r="AM4" s="625" t="s">
        <v>550</v>
      </c>
      <c r="AN4" s="625" t="s">
        <v>551</v>
      </c>
      <c r="AO4" s="369"/>
      <c r="AP4" s="367" t="s">
        <v>254</v>
      </c>
      <c r="AQ4" s="395" t="s">
        <v>553</v>
      </c>
      <c r="AR4" s="395" t="s">
        <v>554</v>
      </c>
      <c r="AS4" s="623" t="s">
        <v>546</v>
      </c>
      <c r="AT4" s="623" t="s">
        <v>547</v>
      </c>
      <c r="AU4" s="623" t="s">
        <v>548</v>
      </c>
      <c r="AV4" s="623" t="s">
        <v>259</v>
      </c>
      <c r="AW4" s="619" t="s">
        <v>555</v>
      </c>
      <c r="AX4" s="619" t="s">
        <v>550</v>
      </c>
      <c r="AY4" s="619" t="s">
        <v>556</v>
      </c>
    </row>
    <row r="5" spans="1:55" s="3" customFormat="1">
      <c r="A5" s="8"/>
      <c r="B5" s="8"/>
      <c r="C5" s="8"/>
      <c r="D5" s="8"/>
      <c r="E5" s="8"/>
      <c r="F5" s="8"/>
      <c r="G5" s="8"/>
      <c r="H5" s="8"/>
      <c r="I5" s="26"/>
      <c r="J5" s="8"/>
      <c r="K5" s="8"/>
      <c r="L5" s="8"/>
      <c r="M5" s="27"/>
      <c r="N5" s="26"/>
      <c r="O5" s="26"/>
      <c r="P5" s="26"/>
      <c r="Q5" s="26"/>
      <c r="R5" s="369"/>
      <c r="S5" s="369"/>
      <c r="T5" s="369"/>
      <c r="U5" s="626"/>
      <c r="V5" s="369"/>
      <c r="W5" s="369"/>
      <c r="X5" s="192"/>
      <c r="Y5" s="627"/>
      <c r="Z5" s="628"/>
      <c r="AA5" s="628"/>
      <c r="AB5" s="628"/>
      <c r="AC5" s="629">
        <f>AC7/T7</f>
        <v>0.67496827489526323</v>
      </c>
      <c r="AD5" s="630"/>
      <c r="AE5" s="630"/>
      <c r="AF5" s="631"/>
      <c r="AG5" s="632"/>
      <c r="AH5" s="633">
        <f>'04b_MO_Ajuste'!E7</f>
        <v>0.9630082244989403</v>
      </c>
      <c r="AI5" s="633">
        <f>'04b_MO_Ajuste'!F7</f>
        <v>0.9630082244989403</v>
      </c>
      <c r="AJ5" s="633">
        <f>'04b_MO_Ajuste'!G7</f>
        <v>0.9630082244989403</v>
      </c>
      <c r="AK5" s="634">
        <f>AK7/P7</f>
        <v>0.65</v>
      </c>
      <c r="AL5" s="369"/>
      <c r="AM5" s="633"/>
      <c r="AN5" s="633"/>
      <c r="AO5" s="369"/>
      <c r="AP5" s="369"/>
      <c r="AQ5" s="630"/>
      <c r="AR5" s="630"/>
      <c r="AS5" s="630"/>
      <c r="AT5" s="630"/>
      <c r="AU5" s="630"/>
      <c r="AV5" s="630"/>
      <c r="AW5" s="630"/>
      <c r="AX5" s="630"/>
      <c r="AY5" s="630"/>
    </row>
    <row r="6" spans="1:55" s="31" customFormat="1" ht="12">
      <c r="A6" s="28" t="s">
        <v>557</v>
      </c>
      <c r="B6" s="28"/>
      <c r="C6" s="28" t="s">
        <v>557</v>
      </c>
      <c r="D6" s="28"/>
      <c r="E6" s="28"/>
      <c r="F6" s="28"/>
      <c r="G6" s="28"/>
      <c r="H6" s="28"/>
      <c r="I6" s="29"/>
      <c r="J6" s="28"/>
      <c r="K6" s="28"/>
      <c r="L6" s="28"/>
      <c r="M6" s="30" t="s">
        <v>164</v>
      </c>
      <c r="N6" s="29" t="s">
        <v>558</v>
      </c>
      <c r="O6" s="29" t="s">
        <v>164</v>
      </c>
      <c r="P6" s="29" t="s">
        <v>164</v>
      </c>
      <c r="Q6" s="29"/>
      <c r="R6" s="635" t="s">
        <v>557</v>
      </c>
      <c r="S6" s="635"/>
      <c r="T6" s="635" t="s">
        <v>164</v>
      </c>
      <c r="U6" s="636"/>
      <c r="V6" s="635"/>
      <c r="W6" s="635" t="s">
        <v>164</v>
      </c>
      <c r="X6" s="637"/>
      <c r="Y6" s="637"/>
      <c r="Z6" s="638" t="s">
        <v>164</v>
      </c>
      <c r="AA6" s="638" t="s">
        <v>164</v>
      </c>
      <c r="AB6" s="638" t="s">
        <v>164</v>
      </c>
      <c r="AC6" s="638" t="s">
        <v>164</v>
      </c>
      <c r="AD6" s="638" t="s">
        <v>164</v>
      </c>
      <c r="AE6" s="639"/>
      <c r="AF6" s="639"/>
      <c r="AG6" s="640"/>
      <c r="AH6" s="635"/>
      <c r="AI6" s="635"/>
      <c r="AJ6" s="635"/>
      <c r="AK6" s="635"/>
      <c r="AL6" s="635"/>
      <c r="AM6" s="635"/>
      <c r="AN6" s="635"/>
      <c r="AO6" s="635"/>
      <c r="AP6" s="635"/>
      <c r="AQ6" s="635"/>
      <c r="AR6" s="635"/>
      <c r="AS6" s="638"/>
      <c r="AT6" s="635"/>
      <c r="AU6" s="635"/>
      <c r="AV6" s="635"/>
      <c r="AW6" s="638"/>
      <c r="AX6" s="638"/>
      <c r="AY6" s="635"/>
    </row>
    <row r="7" spans="1:55" s="11" customFormat="1">
      <c r="A7" s="9"/>
      <c r="B7" s="9"/>
      <c r="C7" s="9"/>
      <c r="D7" s="9"/>
      <c r="E7" s="9"/>
      <c r="F7" s="9"/>
      <c r="G7" s="9"/>
      <c r="H7" s="9"/>
      <c r="I7" s="10"/>
      <c r="J7" s="9"/>
      <c r="K7" s="9"/>
      <c r="L7" s="9"/>
      <c r="M7" s="19">
        <f>SUM(M9:M42)</f>
        <v>170944.22866772499</v>
      </c>
      <c r="N7" s="10"/>
      <c r="O7" s="10">
        <f>SUM(O9:O42)</f>
        <v>6167.5173605540003</v>
      </c>
      <c r="P7" s="10">
        <f>SUM(P9:P42)</f>
        <v>164776.711307171</v>
      </c>
      <c r="Q7" s="10"/>
      <c r="R7" s="641"/>
      <c r="S7" s="641"/>
      <c r="T7" s="559">
        <f t="shared" ref="T7:AB7" si="0">SUM(T9:T42)</f>
        <v>164776.711307171</v>
      </c>
      <c r="U7" s="571"/>
      <c r="V7" s="559">
        <f t="shared" si="0"/>
        <v>164776.711307171</v>
      </c>
      <c r="W7" s="559">
        <f t="shared" si="0"/>
        <v>308974.12999999989</v>
      </c>
      <c r="X7" s="642"/>
      <c r="Y7" s="642"/>
      <c r="Z7" s="559">
        <f t="shared" si="0"/>
        <v>30634.550473915995</v>
      </c>
      <c r="AA7" s="559">
        <f t="shared" si="0"/>
        <v>75119.274400000009</v>
      </c>
      <c r="AB7" s="559">
        <f t="shared" si="0"/>
        <v>5465.2276999999995</v>
      </c>
      <c r="AC7" s="559">
        <f>SUM(AC9:AC42)</f>
        <v>111219.05257391602</v>
      </c>
      <c r="AD7" s="559">
        <f>SUM(AD9:AD42)</f>
        <v>53557.658733255004</v>
      </c>
      <c r="AE7" s="377">
        <f>SUM(AE9:AE42)</f>
        <v>12179.879833255003</v>
      </c>
      <c r="AF7" s="377">
        <f>SUM(AF9:AF42)</f>
        <v>41377.778900000005</v>
      </c>
      <c r="AG7" s="632"/>
      <c r="AH7" s="559">
        <f t="shared" ref="AH7:AN7" si="1">SUM(AH9:AH42)</f>
        <v>29501.324060209019</v>
      </c>
      <c r="AI7" s="559">
        <f t="shared" si="1"/>
        <v>72340.479065592692</v>
      </c>
      <c r="AJ7" s="559">
        <f t="shared" si="1"/>
        <v>5263.0592238594272</v>
      </c>
      <c r="AK7" s="559">
        <f t="shared" si="1"/>
        <v>107104.86234966115</v>
      </c>
      <c r="AL7" s="559">
        <f t="shared" si="1"/>
        <v>57671.848957509857</v>
      </c>
      <c r="AM7" s="559">
        <f t="shared" si="1"/>
        <v>13723.804706592953</v>
      </c>
      <c r="AN7" s="559">
        <f t="shared" si="1"/>
        <v>43948.044250916901</v>
      </c>
      <c r="AO7" s="643"/>
      <c r="AP7" s="573"/>
      <c r="AQ7" s="643">
        <f>SUM(AQ9:AQ42)</f>
        <v>164776.711307171</v>
      </c>
      <c r="AR7" s="643">
        <f>SUM(AR9:AR42)</f>
        <v>308974.12999999995</v>
      </c>
      <c r="AS7" s="644">
        <f t="shared" ref="AS7:AY7" si="2">SUM(AS9:AS42)</f>
        <v>29501.324060209015</v>
      </c>
      <c r="AT7" s="643">
        <f t="shared" si="2"/>
        <v>72340.479065592706</v>
      </c>
      <c r="AU7" s="643">
        <f t="shared" si="2"/>
        <v>5263.0592238594272</v>
      </c>
      <c r="AV7" s="643">
        <f t="shared" si="2"/>
        <v>107104.86234966114</v>
      </c>
      <c r="AW7" s="575">
        <f t="shared" si="2"/>
        <v>57671.84895750985</v>
      </c>
      <c r="AX7" s="575">
        <f t="shared" si="2"/>
        <v>13723.804706592957</v>
      </c>
      <c r="AY7" s="575">
        <f t="shared" si="2"/>
        <v>43948.044250916901</v>
      </c>
    </row>
    <row r="8" spans="1:55" s="11" customFormat="1">
      <c r="A8" s="9"/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19"/>
      <c r="N8" s="10"/>
      <c r="O8" s="10"/>
      <c r="P8" s="10"/>
      <c r="Q8" s="10"/>
      <c r="R8" s="641"/>
      <c r="S8" s="641"/>
      <c r="T8" s="641"/>
      <c r="U8" s="645"/>
      <c r="V8" s="641"/>
      <c r="W8" s="641"/>
      <c r="X8" s="646"/>
      <c r="Y8" s="646"/>
      <c r="Z8" s="575"/>
      <c r="AA8" s="575"/>
      <c r="AB8" s="575"/>
      <c r="AC8" s="647"/>
      <c r="AD8" s="647"/>
      <c r="AE8" s="648"/>
      <c r="AF8" s="648"/>
      <c r="AG8" s="632"/>
      <c r="AH8" s="573"/>
      <c r="AI8" s="573"/>
      <c r="AJ8" s="573"/>
      <c r="AK8" s="573"/>
      <c r="AL8" s="573"/>
      <c r="AM8" s="573"/>
      <c r="AN8" s="573"/>
      <c r="AO8" s="573"/>
      <c r="AP8" s="573"/>
      <c r="AQ8" s="573"/>
      <c r="AR8" s="573"/>
      <c r="AS8" s="575"/>
      <c r="AT8" s="573"/>
      <c r="AU8" s="573"/>
      <c r="AV8" s="372" t="s">
        <v>67</v>
      </c>
      <c r="AW8" s="372"/>
      <c r="AX8" s="372" t="s">
        <v>67</v>
      </c>
      <c r="AY8" s="372"/>
    </row>
    <row r="9" spans="1:55">
      <c r="A9" s="21" t="s">
        <v>264</v>
      </c>
      <c r="B9" s="4" t="s">
        <v>324</v>
      </c>
      <c r="C9" s="4">
        <v>21</v>
      </c>
      <c r="D9" s="4">
        <v>21</v>
      </c>
      <c r="E9" s="4" t="s">
        <v>377</v>
      </c>
      <c r="F9" s="4" t="s">
        <v>378</v>
      </c>
      <c r="G9" s="4" t="s">
        <v>327</v>
      </c>
      <c r="H9" s="4" t="s">
        <v>379</v>
      </c>
      <c r="I9" s="5">
        <v>43867.5</v>
      </c>
      <c r="J9" s="4" t="s">
        <v>8</v>
      </c>
      <c r="K9" s="4" t="s">
        <v>380</v>
      </c>
      <c r="L9" s="4" t="s">
        <v>349</v>
      </c>
      <c r="M9" s="5">
        <v>16461.200400000002</v>
      </c>
      <c r="O9" s="5">
        <f t="shared" ref="O9:O42" si="3">IF(N9="x",M9,0)</f>
        <v>0</v>
      </c>
      <c r="P9" s="5">
        <f t="shared" ref="P9:P42" si="4">M9-O9</f>
        <v>16461.200400000002</v>
      </c>
      <c r="R9" s="529">
        <v>1</v>
      </c>
      <c r="S9" s="562">
        <f>D9</f>
        <v>21</v>
      </c>
      <c r="T9" s="371">
        <f>P9</f>
        <v>16461.200400000002</v>
      </c>
      <c r="U9" s="649">
        <f>T9/$V$9</f>
        <v>0.95326404220366767</v>
      </c>
      <c r="V9" s="371">
        <f>SUMIF(R9:R42,R9,T9:T42)</f>
        <v>17268.248534736002</v>
      </c>
      <c r="W9" s="650">
        <f t="shared" ref="W9:W42" si="5">I9</f>
        <v>43867.5</v>
      </c>
      <c r="X9" s="316" t="str">
        <f t="shared" ref="X9:X42" si="6">L9</f>
        <v>GASEOSAS LUX S.A</v>
      </c>
      <c r="Y9" s="316"/>
      <c r="Z9" s="373">
        <v>4120.0819000000001</v>
      </c>
      <c r="AA9" s="373">
        <v>8563.2628999999997</v>
      </c>
      <c r="AB9" s="373">
        <v>0</v>
      </c>
      <c r="AC9" s="651">
        <f>SUM(Z9:AB9)</f>
        <v>12683.344799999999</v>
      </c>
      <c r="AD9" s="651">
        <f>T9-AC9</f>
        <v>3777.8556000000026</v>
      </c>
      <c r="AE9" s="651">
        <f t="shared" ref="AE9:AE39" si="7">IFERROR(AD9-AF9,"-")</f>
        <v>1179.4236000000028</v>
      </c>
      <c r="AF9" s="651">
        <v>2598.4319999999998</v>
      </c>
      <c r="AG9" s="398">
        <f>IFERROR(AF9/AD9,0)</f>
        <v>0.68780606648914744</v>
      </c>
      <c r="AH9" s="652">
        <f>Z9*$AH$5</f>
        <v>3967.6727553092205</v>
      </c>
      <c r="AI9" s="652">
        <f>AA9*$AI$5</f>
        <v>8246.4926012466458</v>
      </c>
      <c r="AJ9" s="652">
        <f>AB9*$AJ$5</f>
        <v>0</v>
      </c>
      <c r="AK9" s="651">
        <f>SUM(AH9:AJ9)</f>
        <v>12214.165356555866</v>
      </c>
      <c r="AL9" s="371">
        <f>T9-AK9</f>
        <v>4247.0350434441352</v>
      </c>
      <c r="AM9" s="652">
        <f>AL9-AN9</f>
        <v>1325.8985759712591</v>
      </c>
      <c r="AN9" s="652">
        <f>AL9*AG9</f>
        <v>2921.1364674728761</v>
      </c>
      <c r="AO9" s="372"/>
      <c r="AP9" s="372">
        <f>R9</f>
        <v>1</v>
      </c>
      <c r="AQ9" s="371">
        <f>SUMIF($R$9:$R$42,R9,$T$9:$T$42)</f>
        <v>17268.248534736002</v>
      </c>
      <c r="AR9" s="371">
        <f>SUMIF($R$9:$R$42,R9,$W$9:$W$42)</f>
        <v>44678.5</v>
      </c>
      <c r="AS9" s="373">
        <f>SUMIF($R$9:$R$42,R9,$AH$9:$AH$42)</f>
        <v>4744.8667466265179</v>
      </c>
      <c r="AT9" s="373">
        <f>SUMIF($R$9:$R$42,R9,$AI$9:$AI$42)</f>
        <v>8246.4926012466458</v>
      </c>
      <c r="AU9" s="373">
        <f>SUMIF($R$9:$R$42,R9,$AJ$9:$AJ$42)</f>
        <v>0</v>
      </c>
      <c r="AV9" s="371">
        <f>SUM(AS9:AU9)</f>
        <v>12991.359347873164</v>
      </c>
      <c r="AW9" s="373">
        <f>SUMIF($R$9:$R$42,R9,$AL$9:$AL$42)</f>
        <v>4276.889186862838</v>
      </c>
      <c r="AX9" s="373">
        <f>SUMIF($R$9:$R$42,R9,$AM$9:$AM$42)</f>
        <v>1355.7527193899623</v>
      </c>
      <c r="AY9" s="373">
        <f>SUMIF($R$9:$R$42,R9,$AN$9:$AN$42)</f>
        <v>2921.1364674728761</v>
      </c>
      <c r="BB9" s="16"/>
      <c r="BC9" s="16"/>
    </row>
    <row r="10" spans="1:55">
      <c r="A10" s="14" t="s">
        <v>265</v>
      </c>
      <c r="B10" s="4" t="s">
        <v>324</v>
      </c>
      <c r="C10" s="4">
        <v>20</v>
      </c>
      <c r="D10" s="4">
        <v>20</v>
      </c>
      <c r="E10" s="4" t="s">
        <v>447</v>
      </c>
      <c r="F10" s="4" t="s">
        <v>448</v>
      </c>
      <c r="G10" s="4" t="s">
        <v>327</v>
      </c>
      <c r="H10" s="4" t="s">
        <v>449</v>
      </c>
      <c r="I10" s="5">
        <v>811</v>
      </c>
      <c r="J10" s="4" t="s">
        <v>347</v>
      </c>
      <c r="K10" s="4" t="s">
        <v>450</v>
      </c>
      <c r="L10" s="4" t="s">
        <v>349</v>
      </c>
      <c r="M10" s="20">
        <v>807.04813473599995</v>
      </c>
      <c r="O10" s="5">
        <f t="shared" si="3"/>
        <v>0</v>
      </c>
      <c r="P10" s="5">
        <f t="shared" si="4"/>
        <v>807.04813473599995</v>
      </c>
      <c r="R10" s="529">
        <v>1</v>
      </c>
      <c r="S10" s="562">
        <f t="shared" ref="S10:S42" si="8">D10</f>
        <v>20</v>
      </c>
      <c r="T10" s="371">
        <f t="shared" ref="T10:T42" si="9">P10</f>
        <v>807.04813473599995</v>
      </c>
      <c r="U10" s="649">
        <f>T10/$V$9</f>
        <v>4.6735957796332363E-2</v>
      </c>
      <c r="V10" s="371"/>
      <c r="W10" s="371">
        <f t="shared" si="5"/>
        <v>811</v>
      </c>
      <c r="X10" s="316" t="str">
        <f t="shared" si="6"/>
        <v>GASEOSAS LUX S.A</v>
      </c>
      <c r="Y10" s="316"/>
      <c r="Z10" s="373">
        <v>807.04813473599995</v>
      </c>
      <c r="AA10" s="373">
        <v>0</v>
      </c>
      <c r="AB10" s="373">
        <v>0</v>
      </c>
      <c r="AC10" s="651">
        <f t="shared" ref="AC10:AC39" si="10">SUM(Z10:AB10)</f>
        <v>807.04813473599995</v>
      </c>
      <c r="AD10" s="651">
        <f t="shared" ref="AD10:AD42" si="11">T10-AC10</f>
        <v>0</v>
      </c>
      <c r="AE10" s="651">
        <f t="shared" si="7"/>
        <v>0</v>
      </c>
      <c r="AF10" s="651">
        <v>0</v>
      </c>
      <c r="AG10" s="398">
        <f t="shared" ref="AG10:AG42" si="12">IFERROR(AF10/AD10,0)</f>
        <v>0</v>
      </c>
      <c r="AH10" s="652">
        <f t="shared" ref="AH10:AH42" si="13">Z10*$AH$5</f>
        <v>777.19399131729688</v>
      </c>
      <c r="AI10" s="652">
        <f t="shared" ref="AI10:AI42" si="14">AA10*$AI$5</f>
        <v>0</v>
      </c>
      <c r="AJ10" s="652">
        <f t="shared" ref="AJ10:AJ42" si="15">AB10*$AJ$5</f>
        <v>0</v>
      </c>
      <c r="AK10" s="651">
        <f t="shared" ref="AK10:AK42" si="16">SUM(AH10:AJ10)</f>
        <v>777.19399131729688</v>
      </c>
      <c r="AL10" s="371">
        <f t="shared" ref="AL10:AL42" si="17">T10-AK10</f>
        <v>29.854143418703075</v>
      </c>
      <c r="AM10" s="652">
        <f t="shared" ref="AM10:AM39" si="18">AL10-AN10</f>
        <v>29.854143418703075</v>
      </c>
      <c r="AN10" s="652">
        <f t="shared" ref="AN10:AN39" si="19">AL10*AG10</f>
        <v>0</v>
      </c>
      <c r="AO10" s="372"/>
      <c r="AP10" s="372" t="s">
        <v>67</v>
      </c>
      <c r="AQ10" s="372" t="s">
        <v>67</v>
      </c>
      <c r="AR10" s="372"/>
      <c r="AS10" s="372" t="s">
        <v>67</v>
      </c>
      <c r="AT10" s="372" t="s">
        <v>67</v>
      </c>
      <c r="AU10" s="372" t="s">
        <v>67</v>
      </c>
      <c r="AV10" s="372" t="s">
        <v>67</v>
      </c>
      <c r="AW10" s="372" t="s">
        <v>67</v>
      </c>
      <c r="AX10" s="372" t="s">
        <v>67</v>
      </c>
      <c r="AY10" s="372" t="s">
        <v>67</v>
      </c>
    </row>
    <row r="11" spans="1:55">
      <c r="A11" s="14" t="s">
        <v>266</v>
      </c>
      <c r="B11" s="4" t="s">
        <v>324</v>
      </c>
      <c r="C11" s="4">
        <v>18</v>
      </c>
      <c r="D11" s="4">
        <v>18</v>
      </c>
      <c r="E11" s="4" t="s">
        <v>362</v>
      </c>
      <c r="F11" s="4" t="s">
        <v>363</v>
      </c>
      <c r="G11" s="4" t="s">
        <v>327</v>
      </c>
      <c r="H11" s="4" t="s">
        <v>364</v>
      </c>
      <c r="I11" s="5">
        <v>811.9</v>
      </c>
      <c r="J11" s="4" t="s">
        <v>8</v>
      </c>
      <c r="K11" s="4" t="s">
        <v>365</v>
      </c>
      <c r="L11" s="4" t="s">
        <v>349</v>
      </c>
      <c r="M11" s="20">
        <v>811.64101487899995</v>
      </c>
      <c r="O11" s="5">
        <f t="shared" si="3"/>
        <v>0</v>
      </c>
      <c r="P11" s="5">
        <f t="shared" si="4"/>
        <v>811.64101487899995</v>
      </c>
      <c r="R11" s="372">
        <v>2</v>
      </c>
      <c r="S11" s="562">
        <f t="shared" si="8"/>
        <v>18</v>
      </c>
      <c r="T11" s="371">
        <f t="shared" si="9"/>
        <v>811.64101487899995</v>
      </c>
      <c r="U11" s="649">
        <f>T11/$V$11</f>
        <v>5.2019828595051977E-2</v>
      </c>
      <c r="V11" s="371">
        <f>SUMIF(R11:R44,R11,T11:T44)</f>
        <v>15602.531511536001</v>
      </c>
      <c r="W11" s="371">
        <f t="shared" si="5"/>
        <v>811.9</v>
      </c>
      <c r="X11" s="316" t="str">
        <f t="shared" si="6"/>
        <v>GASEOSAS LUX S.A</v>
      </c>
      <c r="Y11" s="316"/>
      <c r="Z11" s="373">
        <v>163.39009999999999</v>
      </c>
      <c r="AA11" s="373">
        <v>163.39009999999999</v>
      </c>
      <c r="AB11" s="373">
        <v>0</v>
      </c>
      <c r="AC11" s="651">
        <f t="shared" si="10"/>
        <v>326.78019999999998</v>
      </c>
      <c r="AD11" s="651">
        <f t="shared" si="11"/>
        <v>484.86081487899997</v>
      </c>
      <c r="AE11" s="651">
        <f t="shared" si="7"/>
        <v>269.02091487899997</v>
      </c>
      <c r="AF11" s="651">
        <v>215.8399</v>
      </c>
      <c r="AG11" s="398">
        <f t="shared" si="12"/>
        <v>0.44515847306378881</v>
      </c>
      <c r="AH11" s="652">
        <f t="shared" si="13"/>
        <v>157.34601010170431</v>
      </c>
      <c r="AI11" s="652">
        <f t="shared" si="14"/>
        <v>157.34601010170431</v>
      </c>
      <c r="AJ11" s="652">
        <f t="shared" si="15"/>
        <v>0</v>
      </c>
      <c r="AK11" s="651">
        <f t="shared" si="16"/>
        <v>314.69202020340862</v>
      </c>
      <c r="AL11" s="371">
        <f t="shared" si="17"/>
        <v>496.94899467559134</v>
      </c>
      <c r="AM11" s="652">
        <f t="shared" si="18"/>
        <v>275.72793901522016</v>
      </c>
      <c r="AN11" s="652">
        <f t="shared" si="19"/>
        <v>221.22105566037115</v>
      </c>
      <c r="AO11" s="372"/>
      <c r="AP11" s="372">
        <f>R11</f>
        <v>2</v>
      </c>
      <c r="AQ11" s="371">
        <f>SUMIF($R$9:$R$42,R11,$T$9:$T$42)</f>
        <v>15602.531511536001</v>
      </c>
      <c r="AR11" s="371">
        <f>SUMIF($R$9:$R$42,R11,$W$9:$W$42)</f>
        <v>47091.299999999996</v>
      </c>
      <c r="AS11" s="373">
        <f>SUMIF($R$9:$R$42,R11,$AH$9:$AH$42)</f>
        <v>1166.9775073831811</v>
      </c>
      <c r="AT11" s="373">
        <f>SUMIF($R$9:$R$42,R11,$AI$9:$AI$42)</f>
        <v>7535.2101041922524</v>
      </c>
      <c r="AU11" s="373">
        <f>SUMIF($R$9:$R$42,R11,$AJ$9:$AJ$42)</f>
        <v>0</v>
      </c>
      <c r="AV11" s="371">
        <f>SUM(AS11:AU11)</f>
        <v>8702.187611575433</v>
      </c>
      <c r="AW11" s="373">
        <f>SUMIF($R$9:$R$42,R11,$AL$9:$AL$42)</f>
        <v>6900.343899960566</v>
      </c>
      <c r="AX11" s="373">
        <f>SUMIF($R$9:$R$42,R11,$AM$9:$AM$42)</f>
        <v>1807.5715171192544</v>
      </c>
      <c r="AY11" s="373">
        <f>SUMIF($R$9:$R$42,R11,$AN$9:$AN$42)</f>
        <v>5092.7723828413127</v>
      </c>
    </row>
    <row r="12" spans="1:55">
      <c r="A12" s="21" t="s">
        <v>264</v>
      </c>
      <c r="B12" s="4" t="s">
        <v>324</v>
      </c>
      <c r="C12" s="4">
        <v>21</v>
      </c>
      <c r="D12" s="4">
        <v>21</v>
      </c>
      <c r="E12" s="4" t="s">
        <v>377</v>
      </c>
      <c r="F12" s="4" t="s">
        <v>378</v>
      </c>
      <c r="G12" s="4" t="s">
        <v>327</v>
      </c>
      <c r="H12" s="4" t="s">
        <v>379</v>
      </c>
      <c r="I12" s="5">
        <v>43867.5</v>
      </c>
      <c r="J12" s="4" t="s">
        <v>8</v>
      </c>
      <c r="K12" s="4" t="s">
        <v>380</v>
      </c>
      <c r="L12" s="4" t="s">
        <v>349</v>
      </c>
      <c r="M12" s="5">
        <v>12352.429099999999</v>
      </c>
      <c r="O12" s="5">
        <f t="shared" si="3"/>
        <v>0</v>
      </c>
      <c r="P12" s="5">
        <f t="shared" si="4"/>
        <v>12352.429099999999</v>
      </c>
      <c r="R12" s="372">
        <v>2</v>
      </c>
      <c r="S12" s="562">
        <f t="shared" si="8"/>
        <v>21</v>
      </c>
      <c r="T12" s="371">
        <f t="shared" si="9"/>
        <v>12352.429099999999</v>
      </c>
      <c r="U12" s="649">
        <f t="shared" ref="U12:U15" si="20">T12/$V$11</f>
        <v>0.79169390498375325</v>
      </c>
      <c r="V12" s="371"/>
      <c r="W12" s="650">
        <f t="shared" si="5"/>
        <v>43867.5</v>
      </c>
      <c r="X12" s="316" t="str">
        <f t="shared" si="6"/>
        <v>GASEOSAS LUX S.A</v>
      </c>
      <c r="Y12" s="316"/>
      <c r="Z12" s="373">
        <v>546.77449999999999</v>
      </c>
      <c r="AA12" s="373">
        <v>6671.1592000000001</v>
      </c>
      <c r="AB12" s="373">
        <v>0</v>
      </c>
      <c r="AC12" s="651">
        <f t="shared" si="10"/>
        <v>7217.9336999999996</v>
      </c>
      <c r="AD12" s="651">
        <f t="shared" si="11"/>
        <v>5134.4953999999998</v>
      </c>
      <c r="AE12" s="651">
        <f t="shared" si="7"/>
        <v>1047.3728999999998</v>
      </c>
      <c r="AF12" s="651">
        <v>4087.1224999999999</v>
      </c>
      <c r="AG12" s="398">
        <f t="shared" si="12"/>
        <v>0.79601249618414305</v>
      </c>
      <c r="AH12" s="652">
        <f t="shared" si="13"/>
        <v>526.54834044629581</v>
      </c>
      <c r="AI12" s="652">
        <f t="shared" si="14"/>
        <v>6424.3811765417713</v>
      </c>
      <c r="AJ12" s="652">
        <f t="shared" si="15"/>
        <v>0</v>
      </c>
      <c r="AK12" s="651">
        <f t="shared" si="16"/>
        <v>6950.929516988067</v>
      </c>
      <c r="AL12" s="371">
        <f t="shared" si="17"/>
        <v>5401.4995830119324</v>
      </c>
      <c r="AM12" s="652">
        <f t="shared" si="18"/>
        <v>1101.8384168009961</v>
      </c>
      <c r="AN12" s="652">
        <f t="shared" si="19"/>
        <v>4299.6611662109362</v>
      </c>
      <c r="AO12" s="372"/>
      <c r="AP12" s="372" t="s">
        <v>67</v>
      </c>
      <c r="AQ12" s="372" t="s">
        <v>67</v>
      </c>
      <c r="AR12" s="372" t="s">
        <v>67</v>
      </c>
      <c r="AS12" s="372" t="s">
        <v>67</v>
      </c>
      <c r="AT12" s="372" t="s">
        <v>67</v>
      </c>
      <c r="AU12" s="372" t="s">
        <v>67</v>
      </c>
      <c r="AV12" s="372" t="s">
        <v>67</v>
      </c>
      <c r="AW12" s="372" t="s">
        <v>67</v>
      </c>
      <c r="AX12" s="372" t="s">
        <v>67</v>
      </c>
      <c r="AY12" s="372" t="s">
        <v>67</v>
      </c>
    </row>
    <row r="13" spans="1:55">
      <c r="A13" s="14" t="s">
        <v>267</v>
      </c>
      <c r="B13" s="4" t="s">
        <v>324</v>
      </c>
      <c r="C13" s="4">
        <v>19</v>
      </c>
      <c r="D13" s="4">
        <v>19</v>
      </c>
      <c r="E13" s="4" t="s">
        <v>419</v>
      </c>
      <c r="F13" s="4" t="s">
        <v>420</v>
      </c>
      <c r="G13" s="4" t="s">
        <v>327</v>
      </c>
      <c r="H13" s="4" t="s">
        <v>421</v>
      </c>
      <c r="I13" s="5">
        <v>812.2</v>
      </c>
      <c r="J13" s="4" t="s">
        <v>347</v>
      </c>
      <c r="K13" s="4" t="s">
        <v>422</v>
      </c>
      <c r="L13" s="4" t="s">
        <v>349</v>
      </c>
      <c r="M13" s="20">
        <v>812.16271328100004</v>
      </c>
      <c r="O13" s="5">
        <f t="shared" si="3"/>
        <v>0</v>
      </c>
      <c r="P13" s="5">
        <f t="shared" si="4"/>
        <v>812.16271328100004</v>
      </c>
      <c r="R13" s="372">
        <v>2</v>
      </c>
      <c r="S13" s="562">
        <f t="shared" si="8"/>
        <v>19</v>
      </c>
      <c r="T13" s="371">
        <f t="shared" si="9"/>
        <v>812.16271328100004</v>
      </c>
      <c r="U13" s="649">
        <f t="shared" si="20"/>
        <v>5.2053265374308877E-2</v>
      </c>
      <c r="V13" s="371"/>
      <c r="W13" s="371">
        <f t="shared" si="5"/>
        <v>812.2</v>
      </c>
      <c r="X13" s="316" t="str">
        <f t="shared" si="6"/>
        <v>GASEOSAS LUX S.A</v>
      </c>
      <c r="Y13" s="316"/>
      <c r="Z13" s="373">
        <v>171.9648</v>
      </c>
      <c r="AA13" s="373">
        <v>326.70769999999999</v>
      </c>
      <c r="AB13" s="373">
        <v>0</v>
      </c>
      <c r="AC13" s="651">
        <f t="shared" si="10"/>
        <v>498.67250000000001</v>
      </c>
      <c r="AD13" s="651">
        <f t="shared" si="11"/>
        <v>313.49021328100002</v>
      </c>
      <c r="AE13" s="651">
        <f t="shared" si="7"/>
        <v>152.69981328100002</v>
      </c>
      <c r="AF13" s="651">
        <v>160.79040000000001</v>
      </c>
      <c r="AG13" s="398">
        <f t="shared" si="12"/>
        <v>0.51290404991327099</v>
      </c>
      <c r="AH13" s="652">
        <f t="shared" si="13"/>
        <v>165.60351672431537</v>
      </c>
      <c r="AI13" s="652">
        <f t="shared" si="14"/>
        <v>314.62220210713241</v>
      </c>
      <c r="AJ13" s="652">
        <f t="shared" si="15"/>
        <v>0</v>
      </c>
      <c r="AK13" s="651">
        <f t="shared" si="16"/>
        <v>480.22571883144781</v>
      </c>
      <c r="AL13" s="371">
        <f t="shared" si="17"/>
        <v>331.93699444955223</v>
      </c>
      <c r="AM13" s="652">
        <f t="shared" si="18"/>
        <v>161.68516568033795</v>
      </c>
      <c r="AN13" s="652">
        <f t="shared" si="19"/>
        <v>170.25182876921428</v>
      </c>
      <c r="AO13" s="372"/>
      <c r="AP13" s="372" t="s">
        <v>67</v>
      </c>
      <c r="AQ13" s="372" t="s">
        <v>67</v>
      </c>
      <c r="AR13" s="372" t="s">
        <v>67</v>
      </c>
      <c r="AS13" s="372" t="s">
        <v>67</v>
      </c>
      <c r="AT13" s="372" t="s">
        <v>67</v>
      </c>
      <c r="AU13" s="372" t="s">
        <v>67</v>
      </c>
      <c r="AV13" s="372" t="s">
        <v>67</v>
      </c>
      <c r="AW13" s="372" t="s">
        <v>67</v>
      </c>
      <c r="AX13" s="372" t="s">
        <v>67</v>
      </c>
      <c r="AY13" s="372" t="s">
        <v>67</v>
      </c>
    </row>
    <row r="14" spans="1:55">
      <c r="A14" s="14" t="s">
        <v>268</v>
      </c>
      <c r="B14" s="4" t="s">
        <v>324</v>
      </c>
      <c r="C14" s="4">
        <v>16</v>
      </c>
      <c r="D14" s="4">
        <v>16</v>
      </c>
      <c r="E14" s="4" t="s">
        <v>424</v>
      </c>
      <c r="F14" s="4" t="s">
        <v>425</v>
      </c>
      <c r="G14" s="4" t="s">
        <v>327</v>
      </c>
      <c r="H14" s="4" t="s">
        <v>426</v>
      </c>
      <c r="I14" s="5">
        <v>575</v>
      </c>
      <c r="J14" s="4" t="s">
        <v>8</v>
      </c>
      <c r="K14" s="4" t="s">
        <v>427</v>
      </c>
      <c r="L14" s="4" t="s">
        <v>349</v>
      </c>
      <c r="M14" s="20">
        <v>813.94624626899997</v>
      </c>
      <c r="O14" s="5">
        <f t="shared" si="3"/>
        <v>0</v>
      </c>
      <c r="P14" s="5">
        <f t="shared" si="4"/>
        <v>813.94624626899997</v>
      </c>
      <c r="R14" s="372">
        <v>2</v>
      </c>
      <c r="S14" s="562">
        <f t="shared" si="8"/>
        <v>16</v>
      </c>
      <c r="T14" s="371">
        <f t="shared" si="9"/>
        <v>813.94624626899997</v>
      </c>
      <c r="U14" s="649">
        <f t="shared" si="20"/>
        <v>5.2167575862108961E-2</v>
      </c>
      <c r="V14" s="371"/>
      <c r="W14" s="371">
        <f t="shared" si="5"/>
        <v>575</v>
      </c>
      <c r="X14" s="316" t="str">
        <f t="shared" si="6"/>
        <v>GASEOSAS LUX S.A</v>
      </c>
      <c r="Y14" s="316"/>
      <c r="Z14" s="373">
        <v>166.43199999999999</v>
      </c>
      <c r="AA14" s="373">
        <v>330.61189999999999</v>
      </c>
      <c r="AB14" s="373">
        <v>0</v>
      </c>
      <c r="AC14" s="651">
        <f t="shared" si="10"/>
        <v>497.04390000000001</v>
      </c>
      <c r="AD14" s="651">
        <f t="shared" si="11"/>
        <v>316.90234626899996</v>
      </c>
      <c r="AE14" s="651">
        <f t="shared" si="7"/>
        <v>153.82224626899998</v>
      </c>
      <c r="AF14" s="651">
        <v>163.08009999999999</v>
      </c>
      <c r="AG14" s="398">
        <f t="shared" si="12"/>
        <v>0.51460679266025622</v>
      </c>
      <c r="AH14" s="652">
        <f t="shared" si="13"/>
        <v>160.27538481980761</v>
      </c>
      <c r="AI14" s="652">
        <f t="shared" si="14"/>
        <v>318.38197881722118</v>
      </c>
      <c r="AJ14" s="652">
        <f t="shared" si="15"/>
        <v>0</v>
      </c>
      <c r="AK14" s="651">
        <f t="shared" si="16"/>
        <v>478.65736363702877</v>
      </c>
      <c r="AL14" s="371">
        <f t="shared" si="17"/>
        <v>335.28888263197121</v>
      </c>
      <c r="AM14" s="652">
        <f t="shared" si="18"/>
        <v>162.74694612609142</v>
      </c>
      <c r="AN14" s="652">
        <f t="shared" si="19"/>
        <v>172.54193650587979</v>
      </c>
      <c r="AO14" s="372"/>
      <c r="AP14" s="372" t="s">
        <v>67</v>
      </c>
      <c r="AQ14" s="372" t="s">
        <v>67</v>
      </c>
      <c r="AR14" s="372" t="s">
        <v>67</v>
      </c>
      <c r="AS14" s="372" t="s">
        <v>67</v>
      </c>
      <c r="AT14" s="372" t="s">
        <v>67</v>
      </c>
      <c r="AU14" s="372" t="s">
        <v>67</v>
      </c>
      <c r="AV14" s="372" t="s">
        <v>67</v>
      </c>
      <c r="AW14" s="372" t="s">
        <v>67</v>
      </c>
      <c r="AX14" s="372" t="s">
        <v>67</v>
      </c>
      <c r="AY14" s="372" t="s">
        <v>67</v>
      </c>
    </row>
    <row r="15" spans="1:55">
      <c r="A15" s="14" t="s">
        <v>269</v>
      </c>
      <c r="B15" s="4" t="s">
        <v>324</v>
      </c>
      <c r="C15" s="4">
        <v>17</v>
      </c>
      <c r="D15" s="4">
        <v>17</v>
      </c>
      <c r="E15" s="4" t="s">
        <v>442</v>
      </c>
      <c r="F15" s="4" t="s">
        <v>443</v>
      </c>
      <c r="G15" s="4" t="s">
        <v>327</v>
      </c>
      <c r="H15" s="4" t="s">
        <v>444</v>
      </c>
      <c r="I15" s="5">
        <v>1024.7</v>
      </c>
      <c r="J15" s="4" t="s">
        <v>347</v>
      </c>
      <c r="K15" s="4" t="s">
        <v>445</v>
      </c>
      <c r="L15" s="4" t="s">
        <v>417</v>
      </c>
      <c r="M15" s="20">
        <v>812.35243710700001</v>
      </c>
      <c r="O15" s="5">
        <f t="shared" si="3"/>
        <v>0</v>
      </c>
      <c r="P15" s="5">
        <f t="shared" si="4"/>
        <v>812.35243710700001</v>
      </c>
      <c r="R15" s="372">
        <v>2</v>
      </c>
      <c r="S15" s="562">
        <f t="shared" si="8"/>
        <v>17</v>
      </c>
      <c r="T15" s="371">
        <f t="shared" si="9"/>
        <v>812.35243710700001</v>
      </c>
      <c r="U15" s="649">
        <f t="shared" si="20"/>
        <v>5.206542518477679E-2</v>
      </c>
      <c r="V15" s="371"/>
      <c r="W15" s="371">
        <f t="shared" si="5"/>
        <v>1024.7</v>
      </c>
      <c r="X15" s="316" t="str">
        <f t="shared" si="6"/>
        <v>INDUSTRIAS MIWAL LIMITADA</v>
      </c>
      <c r="Y15" s="316"/>
      <c r="Z15" s="373">
        <v>163.24289999999999</v>
      </c>
      <c r="AA15" s="373">
        <v>332.78919999999999</v>
      </c>
      <c r="AB15" s="373">
        <v>0</v>
      </c>
      <c r="AC15" s="651">
        <f t="shared" si="10"/>
        <v>496.03210000000001</v>
      </c>
      <c r="AD15" s="651">
        <f t="shared" si="11"/>
        <v>316.320337107</v>
      </c>
      <c r="AE15" s="651">
        <f t="shared" si="7"/>
        <v>99.784737107000012</v>
      </c>
      <c r="AF15" s="651">
        <v>216.53559999999999</v>
      </c>
      <c r="AG15" s="398">
        <f t="shared" si="12"/>
        <v>0.68454529980711809</v>
      </c>
      <c r="AH15" s="652">
        <f t="shared" si="13"/>
        <v>157.20425529105805</v>
      </c>
      <c r="AI15" s="652">
        <f t="shared" si="14"/>
        <v>320.47873662442277</v>
      </c>
      <c r="AJ15" s="652">
        <f t="shared" si="15"/>
        <v>0</v>
      </c>
      <c r="AK15" s="651">
        <f t="shared" si="16"/>
        <v>477.68299191548078</v>
      </c>
      <c r="AL15" s="371">
        <f t="shared" si="17"/>
        <v>334.66944519151923</v>
      </c>
      <c r="AM15" s="652">
        <f t="shared" si="18"/>
        <v>105.57304949660883</v>
      </c>
      <c r="AN15" s="652">
        <f t="shared" si="19"/>
        <v>229.0963956949104</v>
      </c>
      <c r="AO15" s="372"/>
      <c r="AP15" s="372" t="s">
        <v>67</v>
      </c>
      <c r="AQ15" s="372" t="s">
        <v>67</v>
      </c>
      <c r="AR15" s="372" t="s">
        <v>67</v>
      </c>
      <c r="AS15" s="372" t="s">
        <v>67</v>
      </c>
      <c r="AT15" s="372" t="s">
        <v>67</v>
      </c>
      <c r="AU15" s="372" t="s">
        <v>67</v>
      </c>
      <c r="AV15" s="372" t="s">
        <v>67</v>
      </c>
      <c r="AW15" s="372" t="s">
        <v>67</v>
      </c>
      <c r="AX15" s="372" t="s">
        <v>67</v>
      </c>
      <c r="AY15" s="372" t="s">
        <v>67</v>
      </c>
    </row>
    <row r="16" spans="1:55">
      <c r="A16" s="14" t="s">
        <v>270</v>
      </c>
      <c r="B16" s="4" t="s">
        <v>324</v>
      </c>
      <c r="C16" s="4">
        <v>13</v>
      </c>
      <c r="D16" s="4">
        <v>13</v>
      </c>
      <c r="E16" s="4" t="s">
        <v>344</v>
      </c>
      <c r="F16" s="4" t="s">
        <v>345</v>
      </c>
      <c r="G16" s="4" t="s">
        <v>327</v>
      </c>
      <c r="H16" s="4" t="s">
        <v>346</v>
      </c>
      <c r="I16" s="5">
        <v>820</v>
      </c>
      <c r="J16" s="4" t="s">
        <v>347</v>
      </c>
      <c r="K16" s="4" t="s">
        <v>348</v>
      </c>
      <c r="L16" s="4" t="s">
        <v>349</v>
      </c>
      <c r="M16" s="20">
        <v>817.516231199</v>
      </c>
      <c r="O16" s="5">
        <f t="shared" si="3"/>
        <v>0</v>
      </c>
      <c r="P16" s="5">
        <f t="shared" si="4"/>
        <v>817.516231199</v>
      </c>
      <c r="R16" s="529">
        <v>3</v>
      </c>
      <c r="S16" s="562">
        <f t="shared" si="8"/>
        <v>13</v>
      </c>
      <c r="T16" s="371">
        <f t="shared" si="9"/>
        <v>817.516231199</v>
      </c>
      <c r="U16" s="649">
        <f>T16/$V$16</f>
        <v>4.206093185772436E-2</v>
      </c>
      <c r="V16" s="371">
        <f>SUMIF(R16:R49,R16,T16:T49)</f>
        <v>19436.47454042</v>
      </c>
      <c r="W16" s="371">
        <f t="shared" si="5"/>
        <v>820</v>
      </c>
      <c r="X16" s="316" t="str">
        <f t="shared" si="6"/>
        <v>GASEOSAS LUX S.A</v>
      </c>
      <c r="Y16" s="316"/>
      <c r="Z16" s="373">
        <v>166.78229999999999</v>
      </c>
      <c r="AA16" s="373">
        <v>331.77569999999997</v>
      </c>
      <c r="AB16" s="373">
        <v>0</v>
      </c>
      <c r="AC16" s="651">
        <f t="shared" si="10"/>
        <v>498.55799999999999</v>
      </c>
      <c r="AD16" s="651">
        <f t="shared" si="11"/>
        <v>318.95823119900001</v>
      </c>
      <c r="AE16" s="651">
        <f t="shared" si="7"/>
        <v>99.890731199000015</v>
      </c>
      <c r="AF16" s="651">
        <v>219.0675</v>
      </c>
      <c r="AG16" s="398">
        <f t="shared" si="12"/>
        <v>0.68682190510180763</v>
      </c>
      <c r="AH16" s="652">
        <f t="shared" si="13"/>
        <v>160.61272660084961</v>
      </c>
      <c r="AI16" s="652">
        <f t="shared" si="14"/>
        <v>319.50272778889303</v>
      </c>
      <c r="AJ16" s="652">
        <f t="shared" si="15"/>
        <v>0</v>
      </c>
      <c r="AK16" s="651">
        <f t="shared" si="16"/>
        <v>480.11545438974264</v>
      </c>
      <c r="AL16" s="371">
        <f t="shared" si="17"/>
        <v>337.40077680925737</v>
      </c>
      <c r="AM16" s="652">
        <f t="shared" si="18"/>
        <v>105.66653249829344</v>
      </c>
      <c r="AN16" s="652">
        <f t="shared" si="19"/>
        <v>231.73424431096393</v>
      </c>
      <c r="AO16" s="372"/>
      <c r="AP16" s="372">
        <f>R16</f>
        <v>3</v>
      </c>
      <c r="AQ16" s="371">
        <f>SUMIF($R$9:$R$42,R16,$T$9:$T$42)</f>
        <v>19436.47454042</v>
      </c>
      <c r="AR16" s="371">
        <f>SUMIF($R$9:$R$42,R16,$W$9:$W$42)</f>
        <v>48617.9</v>
      </c>
      <c r="AS16" s="373">
        <f>SUMIF($R$9:$R$42,R16,$AH$9:$AH$42)</f>
        <v>2936.0801443705127</v>
      </c>
      <c r="AT16" s="373">
        <f>SUMIF($R$9:$R$42,R16,$AI$9:$AI$42)</f>
        <v>9141.2862344640271</v>
      </c>
      <c r="AU16" s="373">
        <f>SUMIF($R$9:$R$42,R16,$AJ$9:$AJ$42)</f>
        <v>0</v>
      </c>
      <c r="AV16" s="371">
        <f>SUM(AS16:AU16)</f>
        <v>12077.36637883454</v>
      </c>
      <c r="AW16" s="373">
        <f>SUMIF($R$9:$R$42,R16,$AL$9:$AL$42)</f>
        <v>7359.10816158546</v>
      </c>
      <c r="AX16" s="373">
        <f>SUMIF($R$9:$R$42,R16,$AM$9:$AM$42)</f>
        <v>1927.3054082392089</v>
      </c>
      <c r="AY16" s="373">
        <f>SUMIF($R$9:$R$42,R16,$AN$9:$AN$42)</f>
        <v>5431.80275334625</v>
      </c>
    </row>
    <row r="17" spans="1:51">
      <c r="A17" s="14" t="s">
        <v>271</v>
      </c>
      <c r="B17" s="4" t="s">
        <v>324</v>
      </c>
      <c r="C17" s="4">
        <v>15</v>
      </c>
      <c r="D17" s="4">
        <v>15</v>
      </c>
      <c r="E17" s="4" t="s">
        <v>367</v>
      </c>
      <c r="F17" s="4" t="s">
        <v>368</v>
      </c>
      <c r="G17" s="4" t="s">
        <v>327</v>
      </c>
      <c r="H17" s="4" t="s">
        <v>369</v>
      </c>
      <c r="I17" s="5">
        <v>554</v>
      </c>
      <c r="J17" s="4" t="s">
        <v>8</v>
      </c>
      <c r="K17" s="4" t="s">
        <v>370</v>
      </c>
      <c r="L17" s="4" t="s">
        <v>349</v>
      </c>
      <c r="M17" s="20">
        <v>814.02717380900003</v>
      </c>
      <c r="O17" s="5">
        <f t="shared" si="3"/>
        <v>0</v>
      </c>
      <c r="P17" s="5">
        <f t="shared" si="4"/>
        <v>814.02717380900003</v>
      </c>
      <c r="R17" s="529">
        <v>3</v>
      </c>
      <c r="S17" s="562">
        <f t="shared" si="8"/>
        <v>15</v>
      </c>
      <c r="T17" s="371">
        <f t="shared" si="9"/>
        <v>814.02717380900003</v>
      </c>
      <c r="U17" s="649">
        <f t="shared" ref="U17:U21" si="21">T17/$V$16</f>
        <v>4.1881421042491679E-2</v>
      </c>
      <c r="V17" s="371"/>
      <c r="W17" s="371">
        <f t="shared" si="5"/>
        <v>554</v>
      </c>
      <c r="X17" s="316" t="str">
        <f t="shared" si="6"/>
        <v>GASEOSAS LUX S.A</v>
      </c>
      <c r="Y17" s="316"/>
      <c r="Z17" s="373">
        <v>247.89660000000001</v>
      </c>
      <c r="AA17" s="373">
        <v>288.93060000000003</v>
      </c>
      <c r="AB17" s="373">
        <v>0</v>
      </c>
      <c r="AC17" s="651">
        <f t="shared" si="10"/>
        <v>536.82720000000006</v>
      </c>
      <c r="AD17" s="651">
        <f t="shared" si="11"/>
        <v>277.19997380899997</v>
      </c>
      <c r="AE17" s="651">
        <f t="shared" si="7"/>
        <v>277.19997380899997</v>
      </c>
      <c r="AF17" s="651">
        <v>0</v>
      </c>
      <c r="AG17" s="398">
        <f t="shared" si="12"/>
        <v>0</v>
      </c>
      <c r="AH17" s="652">
        <f t="shared" si="13"/>
        <v>238.72646462532401</v>
      </c>
      <c r="AI17" s="652">
        <f t="shared" si="14"/>
        <v>278.24254410941353</v>
      </c>
      <c r="AJ17" s="652">
        <f t="shared" si="15"/>
        <v>0</v>
      </c>
      <c r="AK17" s="651">
        <f t="shared" si="16"/>
        <v>516.9690087347376</v>
      </c>
      <c r="AL17" s="371">
        <f t="shared" si="17"/>
        <v>297.05816507426243</v>
      </c>
      <c r="AM17" s="652">
        <f t="shared" si="18"/>
        <v>297.05816507426243</v>
      </c>
      <c r="AN17" s="652">
        <f t="shared" si="19"/>
        <v>0</v>
      </c>
      <c r="AO17" s="372"/>
      <c r="AP17" s="372" t="s">
        <v>67</v>
      </c>
      <c r="AQ17" s="372" t="s">
        <v>67</v>
      </c>
      <c r="AR17" s="372" t="s">
        <v>67</v>
      </c>
      <c r="AS17" s="372" t="s">
        <v>67</v>
      </c>
      <c r="AT17" s="372" t="s">
        <v>67</v>
      </c>
      <c r="AU17" s="372" t="s">
        <v>67</v>
      </c>
      <c r="AV17" s="372" t="s">
        <v>67</v>
      </c>
      <c r="AW17" s="372" t="s">
        <v>67</v>
      </c>
      <c r="AX17" s="372" t="s">
        <v>67</v>
      </c>
      <c r="AY17" s="372" t="s">
        <v>67</v>
      </c>
    </row>
    <row r="18" spans="1:51">
      <c r="A18" s="14" t="s">
        <v>272</v>
      </c>
      <c r="B18" s="4" t="s">
        <v>324</v>
      </c>
      <c r="C18" s="4">
        <v>14</v>
      </c>
      <c r="D18" s="4">
        <v>14</v>
      </c>
      <c r="E18" s="4" t="s">
        <v>372</v>
      </c>
      <c r="F18" s="4" t="s">
        <v>373</v>
      </c>
      <c r="G18" s="4" t="s">
        <v>327</v>
      </c>
      <c r="H18" s="4" t="s">
        <v>374</v>
      </c>
      <c r="I18" s="5">
        <v>1640</v>
      </c>
      <c r="J18" s="4" t="s">
        <v>347</v>
      </c>
      <c r="K18" s="4" t="s">
        <v>375</v>
      </c>
      <c r="L18" s="4" t="s">
        <v>349</v>
      </c>
      <c r="M18" s="20">
        <v>1634.6309675800001</v>
      </c>
      <c r="O18" s="5">
        <f t="shared" si="3"/>
        <v>0</v>
      </c>
      <c r="P18" s="5">
        <f t="shared" si="4"/>
        <v>1634.6309675800001</v>
      </c>
      <c r="R18" s="529">
        <v>3</v>
      </c>
      <c r="S18" s="562">
        <f t="shared" si="8"/>
        <v>14</v>
      </c>
      <c r="T18" s="371">
        <f t="shared" si="9"/>
        <v>1634.6309675800001</v>
      </c>
      <c r="U18" s="649">
        <f t="shared" si="21"/>
        <v>8.4101206943709331E-2</v>
      </c>
      <c r="V18" s="371"/>
      <c r="W18" s="371">
        <f t="shared" si="5"/>
        <v>1640</v>
      </c>
      <c r="X18" s="316" t="str">
        <f t="shared" si="6"/>
        <v>GASEOSAS LUX S.A</v>
      </c>
      <c r="Y18" s="316"/>
      <c r="Z18" s="373">
        <v>418.6148</v>
      </c>
      <c r="AA18" s="373">
        <v>819.20209999999997</v>
      </c>
      <c r="AB18" s="373">
        <v>0</v>
      </c>
      <c r="AC18" s="651">
        <f t="shared" si="10"/>
        <v>1237.8169</v>
      </c>
      <c r="AD18" s="651">
        <f t="shared" si="11"/>
        <v>396.81406758000003</v>
      </c>
      <c r="AE18" s="651">
        <f t="shared" si="7"/>
        <v>178.60406758000002</v>
      </c>
      <c r="AF18" s="651">
        <v>218.21</v>
      </c>
      <c r="AG18" s="398">
        <f t="shared" si="12"/>
        <v>0.54990489961903277</v>
      </c>
      <c r="AH18" s="652">
        <f t="shared" si="13"/>
        <v>403.12949529697897</v>
      </c>
      <c r="AI18" s="652">
        <f t="shared" si="14"/>
        <v>788.89835982680336</v>
      </c>
      <c r="AJ18" s="652">
        <f t="shared" si="15"/>
        <v>0</v>
      </c>
      <c r="AK18" s="651">
        <f t="shared" si="16"/>
        <v>1192.0278551237823</v>
      </c>
      <c r="AL18" s="371">
        <f t="shared" si="17"/>
        <v>442.60311245621779</v>
      </c>
      <c r="AM18" s="652">
        <f t="shared" si="18"/>
        <v>199.21349232990988</v>
      </c>
      <c r="AN18" s="652">
        <f t="shared" si="19"/>
        <v>243.3896201263079</v>
      </c>
      <c r="AO18" s="372"/>
      <c r="AP18" s="372" t="s">
        <v>67</v>
      </c>
      <c r="AQ18" s="372" t="s">
        <v>67</v>
      </c>
      <c r="AR18" s="372" t="s">
        <v>67</v>
      </c>
      <c r="AS18" s="372" t="s">
        <v>67</v>
      </c>
      <c r="AT18" s="372" t="s">
        <v>67</v>
      </c>
      <c r="AU18" s="372" t="s">
        <v>67</v>
      </c>
      <c r="AV18" s="372" t="s">
        <v>67</v>
      </c>
      <c r="AW18" s="372" t="s">
        <v>67</v>
      </c>
      <c r="AX18" s="372" t="s">
        <v>67</v>
      </c>
      <c r="AY18" s="372" t="s">
        <v>67</v>
      </c>
    </row>
    <row r="19" spans="1:51">
      <c r="A19" s="21" t="s">
        <v>264</v>
      </c>
      <c r="B19" s="4" t="s">
        <v>324</v>
      </c>
      <c r="C19" s="4">
        <v>21</v>
      </c>
      <c r="D19" s="4">
        <v>21</v>
      </c>
      <c r="E19" s="4" t="s">
        <v>377</v>
      </c>
      <c r="F19" s="4" t="s">
        <v>378</v>
      </c>
      <c r="G19" s="4" t="s">
        <v>327</v>
      </c>
      <c r="H19" s="4" t="s">
        <v>379</v>
      </c>
      <c r="I19" s="5">
        <v>43867.5</v>
      </c>
      <c r="J19" s="4" t="s">
        <v>8</v>
      </c>
      <c r="K19" s="4" t="s">
        <v>380</v>
      </c>
      <c r="L19" s="4" t="s">
        <v>349</v>
      </c>
      <c r="M19" s="5">
        <v>14682.0193</v>
      </c>
      <c r="O19" s="5">
        <f t="shared" si="3"/>
        <v>0</v>
      </c>
      <c r="P19" s="5">
        <f t="shared" si="4"/>
        <v>14682.0193</v>
      </c>
      <c r="R19" s="529">
        <v>3</v>
      </c>
      <c r="S19" s="562">
        <f t="shared" si="8"/>
        <v>21</v>
      </c>
      <c r="T19" s="371">
        <f t="shared" si="9"/>
        <v>14682.0193</v>
      </c>
      <c r="U19" s="649">
        <f t="shared" si="21"/>
        <v>0.75538489603489267</v>
      </c>
      <c r="V19" s="371"/>
      <c r="W19" s="650">
        <f t="shared" si="5"/>
        <v>43867.5</v>
      </c>
      <c r="X19" s="316" t="str">
        <f t="shared" si="6"/>
        <v>GASEOSAS LUX S.A</v>
      </c>
      <c r="Y19" s="316"/>
      <c r="Z19" s="373">
        <v>1927.4820999999999</v>
      </c>
      <c r="AA19" s="373">
        <v>7438.7772000000004</v>
      </c>
      <c r="AB19" s="373">
        <v>0</v>
      </c>
      <c r="AC19" s="651">
        <f t="shared" si="10"/>
        <v>9366.2592999999997</v>
      </c>
      <c r="AD19" s="651">
        <f t="shared" si="11"/>
        <v>5315.76</v>
      </c>
      <c r="AE19" s="651">
        <f t="shared" si="7"/>
        <v>1006.9794000000002</v>
      </c>
      <c r="AF19" s="651">
        <v>4308.7806</v>
      </c>
      <c r="AG19" s="398">
        <f t="shared" si="12"/>
        <v>0.81056718136258976</v>
      </c>
      <c r="AH19" s="652">
        <f t="shared" si="13"/>
        <v>1856.1811148744889</v>
      </c>
      <c r="AI19" s="652">
        <f t="shared" si="14"/>
        <v>7163.6036238151992</v>
      </c>
      <c r="AJ19" s="652">
        <f t="shared" si="15"/>
        <v>0</v>
      </c>
      <c r="AK19" s="651">
        <f t="shared" si="16"/>
        <v>9019.7847386896883</v>
      </c>
      <c r="AL19" s="371">
        <f t="shared" si="17"/>
        <v>5662.2345613103116</v>
      </c>
      <c r="AM19" s="652">
        <f t="shared" si="18"/>
        <v>1072.6130527351725</v>
      </c>
      <c r="AN19" s="652">
        <f t="shared" si="19"/>
        <v>4589.6215085751392</v>
      </c>
      <c r="AO19" s="372"/>
      <c r="AP19" s="372" t="s">
        <v>67</v>
      </c>
      <c r="AQ19" s="372" t="s">
        <v>67</v>
      </c>
      <c r="AR19" s="372" t="s">
        <v>67</v>
      </c>
      <c r="AS19" s="372" t="s">
        <v>67</v>
      </c>
      <c r="AT19" s="372" t="s">
        <v>67</v>
      </c>
      <c r="AU19" s="372" t="s">
        <v>67</v>
      </c>
      <c r="AV19" s="372" t="s">
        <v>67</v>
      </c>
      <c r="AW19" s="372" t="s">
        <v>67</v>
      </c>
      <c r="AX19" s="372" t="s">
        <v>67</v>
      </c>
      <c r="AY19" s="372" t="s">
        <v>67</v>
      </c>
    </row>
    <row r="20" spans="1:51" ht="27.6">
      <c r="A20" s="14" t="s">
        <v>273</v>
      </c>
      <c r="B20" s="4" t="s">
        <v>324</v>
      </c>
      <c r="C20" s="4">
        <v>12</v>
      </c>
      <c r="D20" s="4">
        <v>12</v>
      </c>
      <c r="E20" s="4" t="s">
        <v>406</v>
      </c>
      <c r="F20" s="4" t="s">
        <v>407</v>
      </c>
      <c r="G20" s="4" t="s">
        <v>327</v>
      </c>
      <c r="H20" s="4" t="s">
        <v>408</v>
      </c>
      <c r="I20" s="5">
        <v>910.4</v>
      </c>
      <c r="J20" s="4" t="s">
        <v>347</v>
      </c>
      <c r="K20" s="4" t="s">
        <v>409</v>
      </c>
      <c r="L20" s="4" t="s">
        <v>410</v>
      </c>
      <c r="M20" s="20">
        <v>820.37306783199995</v>
      </c>
      <c r="O20" s="5">
        <f t="shared" si="3"/>
        <v>0</v>
      </c>
      <c r="P20" s="5">
        <f t="shared" si="4"/>
        <v>820.37306783199995</v>
      </c>
      <c r="R20" s="529">
        <v>3</v>
      </c>
      <c r="S20" s="562">
        <f t="shared" si="8"/>
        <v>12</v>
      </c>
      <c r="T20" s="371">
        <f t="shared" si="9"/>
        <v>820.37306783199995</v>
      </c>
      <c r="U20" s="649">
        <f t="shared" si="21"/>
        <v>4.2207915130182481E-2</v>
      </c>
      <c r="V20" s="371"/>
      <c r="W20" s="371">
        <f t="shared" si="5"/>
        <v>910.4</v>
      </c>
      <c r="X20" s="316" t="str">
        <f t="shared" si="6"/>
        <v>CUATRO PROPIETARIOS, DIFERENTES PORCENTAJES NO SUMA 100%</v>
      </c>
      <c r="Y20" s="316"/>
      <c r="Z20" s="373">
        <v>168.00960000000001</v>
      </c>
      <c r="AA20" s="373">
        <v>332.7432</v>
      </c>
      <c r="AB20" s="373">
        <v>0</v>
      </c>
      <c r="AC20" s="651">
        <f t="shared" si="10"/>
        <v>500.75279999999998</v>
      </c>
      <c r="AD20" s="651">
        <f t="shared" si="11"/>
        <v>319.62026783199997</v>
      </c>
      <c r="AE20" s="651">
        <f t="shared" si="7"/>
        <v>100.02766783199996</v>
      </c>
      <c r="AF20" s="651">
        <v>219.5926</v>
      </c>
      <c r="AG20" s="398">
        <f t="shared" si="12"/>
        <v>0.68704216253089156</v>
      </c>
      <c r="AH20" s="652">
        <f t="shared" si="13"/>
        <v>161.79462659477716</v>
      </c>
      <c r="AI20" s="652">
        <f t="shared" si="14"/>
        <v>320.43443824609579</v>
      </c>
      <c r="AJ20" s="652">
        <f t="shared" si="15"/>
        <v>0</v>
      </c>
      <c r="AK20" s="651">
        <f t="shared" si="16"/>
        <v>482.22906484087298</v>
      </c>
      <c r="AL20" s="371">
        <f t="shared" si="17"/>
        <v>338.14400299112697</v>
      </c>
      <c r="AM20" s="652">
        <f t="shared" si="18"/>
        <v>105.82481592925083</v>
      </c>
      <c r="AN20" s="652">
        <f t="shared" si="19"/>
        <v>232.31918706187614</v>
      </c>
      <c r="AO20" s="372"/>
      <c r="AP20" s="372" t="s">
        <v>67</v>
      </c>
      <c r="AQ20" s="372" t="s">
        <v>67</v>
      </c>
      <c r="AR20" s="372" t="s">
        <v>67</v>
      </c>
      <c r="AS20" s="372" t="s">
        <v>67</v>
      </c>
      <c r="AT20" s="372" t="s">
        <v>67</v>
      </c>
      <c r="AU20" s="372" t="s">
        <v>67</v>
      </c>
      <c r="AV20" s="372" t="s">
        <v>67</v>
      </c>
      <c r="AW20" s="372" t="s">
        <v>67</v>
      </c>
      <c r="AX20" s="372" t="s">
        <v>67</v>
      </c>
      <c r="AY20" s="372" t="s">
        <v>67</v>
      </c>
    </row>
    <row r="21" spans="1:51">
      <c r="A21" s="22" t="s">
        <v>274</v>
      </c>
      <c r="B21" s="4" t="s">
        <v>324</v>
      </c>
      <c r="C21" s="4">
        <v>11</v>
      </c>
      <c r="D21" s="4">
        <v>11</v>
      </c>
      <c r="E21" s="4" t="s">
        <v>429</v>
      </c>
      <c r="F21" s="4" t="s">
        <v>430</v>
      </c>
      <c r="G21" s="4" t="s">
        <v>327</v>
      </c>
      <c r="H21" s="4" t="s">
        <v>431</v>
      </c>
      <c r="I21" s="5">
        <v>826</v>
      </c>
      <c r="J21" s="4" t="s">
        <v>347</v>
      </c>
      <c r="K21" s="4" t="s">
        <v>432</v>
      </c>
      <c r="L21" s="4" t="s">
        <v>433</v>
      </c>
      <c r="M21" s="20">
        <v>667.90779999999995</v>
      </c>
      <c r="O21" s="5">
        <f t="shared" si="3"/>
        <v>0</v>
      </c>
      <c r="P21" s="5">
        <f t="shared" si="4"/>
        <v>667.90779999999995</v>
      </c>
      <c r="R21" s="529">
        <v>3</v>
      </c>
      <c r="S21" s="562">
        <f t="shared" si="8"/>
        <v>11</v>
      </c>
      <c r="T21" s="371">
        <f t="shared" si="9"/>
        <v>667.90779999999995</v>
      </c>
      <c r="U21" s="649">
        <f t="shared" si="21"/>
        <v>3.4363628990999477E-2</v>
      </c>
      <c r="V21" s="371"/>
      <c r="W21" s="653">
        <f t="shared" si="5"/>
        <v>826</v>
      </c>
      <c r="X21" s="316" t="str">
        <f t="shared" si="6"/>
        <v>TRES PROPIETARIOS, NATURALES</v>
      </c>
      <c r="Y21" s="316"/>
      <c r="Z21" s="373">
        <v>120.0776</v>
      </c>
      <c r="AA21" s="373">
        <v>280.99919999999997</v>
      </c>
      <c r="AB21" s="373">
        <v>0</v>
      </c>
      <c r="AC21" s="651">
        <f t="shared" si="10"/>
        <v>401.07679999999999</v>
      </c>
      <c r="AD21" s="651">
        <f t="shared" si="11"/>
        <v>266.83099999999996</v>
      </c>
      <c r="AE21" s="651">
        <f t="shared" si="7"/>
        <v>139.18999999999994</v>
      </c>
      <c r="AF21" s="651">
        <v>127.64100000000001</v>
      </c>
      <c r="AG21" s="398">
        <f t="shared" si="12"/>
        <v>0.47835896129010508</v>
      </c>
      <c r="AH21" s="652">
        <f t="shared" si="13"/>
        <v>115.63571637809396</v>
      </c>
      <c r="AI21" s="652">
        <f t="shared" si="14"/>
        <v>270.60454067762259</v>
      </c>
      <c r="AJ21" s="652">
        <f t="shared" si="15"/>
        <v>0</v>
      </c>
      <c r="AK21" s="651">
        <f t="shared" si="16"/>
        <v>386.24025705571654</v>
      </c>
      <c r="AL21" s="371">
        <f t="shared" si="17"/>
        <v>281.66754294428341</v>
      </c>
      <c r="AM21" s="652">
        <f t="shared" si="18"/>
        <v>146.92934967231994</v>
      </c>
      <c r="AN21" s="652">
        <f t="shared" si="19"/>
        <v>134.73819327196347</v>
      </c>
      <c r="AO21" s="372"/>
      <c r="AP21" s="372" t="s">
        <v>67</v>
      </c>
      <c r="AQ21" s="372" t="s">
        <v>67</v>
      </c>
      <c r="AR21" s="372" t="s">
        <v>67</v>
      </c>
      <c r="AS21" s="372" t="s">
        <v>67</v>
      </c>
      <c r="AT21" s="372" t="s">
        <v>67</v>
      </c>
      <c r="AU21" s="372" t="s">
        <v>67</v>
      </c>
      <c r="AV21" s="372" t="s">
        <v>67</v>
      </c>
      <c r="AW21" s="372" t="s">
        <v>67</v>
      </c>
      <c r="AX21" s="372" t="s">
        <v>67</v>
      </c>
      <c r="AY21" s="372" t="s">
        <v>67</v>
      </c>
    </row>
    <row r="22" spans="1:51">
      <c r="A22" s="14" t="s">
        <v>275</v>
      </c>
      <c r="B22" s="4" t="s">
        <v>324</v>
      </c>
      <c r="C22" s="4">
        <v>6</v>
      </c>
      <c r="D22" s="4">
        <v>6</v>
      </c>
      <c r="E22" s="4" t="s">
        <v>325</v>
      </c>
      <c r="F22" s="4" t="s">
        <v>326</v>
      </c>
      <c r="G22" s="4" t="s">
        <v>327</v>
      </c>
      <c r="H22" s="4" t="s">
        <v>328</v>
      </c>
      <c r="I22" s="5">
        <v>820</v>
      </c>
      <c r="J22" s="4" t="s">
        <v>8</v>
      </c>
      <c r="K22" s="4" t="s">
        <v>329</v>
      </c>
      <c r="L22" s="4" t="s">
        <v>331</v>
      </c>
      <c r="M22" s="20">
        <v>819.95528273399998</v>
      </c>
      <c r="O22" s="5">
        <f t="shared" si="3"/>
        <v>0</v>
      </c>
      <c r="P22" s="5">
        <f t="shared" si="4"/>
        <v>819.95528273399998</v>
      </c>
      <c r="R22" s="372">
        <v>4</v>
      </c>
      <c r="S22" s="562">
        <f t="shared" si="8"/>
        <v>6</v>
      </c>
      <c r="T22" s="371">
        <f t="shared" si="9"/>
        <v>819.95528273399998</v>
      </c>
      <c r="U22" s="649">
        <f>T22/$V$22</f>
        <v>3.2002983368524689E-2</v>
      </c>
      <c r="V22" s="371">
        <f>SUMIF(R22:R55,R22,T22:T55)</f>
        <v>25621.213912839001</v>
      </c>
      <c r="W22" s="371">
        <f t="shared" si="5"/>
        <v>820</v>
      </c>
      <c r="X22" s="316" t="str">
        <f t="shared" si="6"/>
        <v>INTERANDINA DE CONDUCTORES LIMITADA</v>
      </c>
      <c r="Y22" s="316"/>
      <c r="Z22" s="373">
        <v>115.7316</v>
      </c>
      <c r="AA22" s="373">
        <v>382.03640000000001</v>
      </c>
      <c r="AB22" s="373">
        <v>0</v>
      </c>
      <c r="AC22" s="651">
        <f t="shared" si="10"/>
        <v>497.76800000000003</v>
      </c>
      <c r="AD22" s="651">
        <f t="shared" si="11"/>
        <v>322.18728273399995</v>
      </c>
      <c r="AE22" s="651">
        <f t="shared" si="7"/>
        <v>99.953682733999955</v>
      </c>
      <c r="AF22" s="651">
        <v>222.2336</v>
      </c>
      <c r="AG22" s="398">
        <f t="shared" si="12"/>
        <v>0.68976527600401161</v>
      </c>
      <c r="AH22" s="652">
        <f t="shared" si="13"/>
        <v>111.45048263442156</v>
      </c>
      <c r="AI22" s="652">
        <f t="shared" si="14"/>
        <v>367.90419525796699</v>
      </c>
      <c r="AJ22" s="652">
        <f t="shared" si="15"/>
        <v>0</v>
      </c>
      <c r="AK22" s="651">
        <f t="shared" si="16"/>
        <v>479.35467789238857</v>
      </c>
      <c r="AL22" s="371">
        <f t="shared" si="17"/>
        <v>340.60060484161141</v>
      </c>
      <c r="AM22" s="652">
        <f t="shared" si="18"/>
        <v>105.66613463590403</v>
      </c>
      <c r="AN22" s="652">
        <f t="shared" si="19"/>
        <v>234.93447020570738</v>
      </c>
      <c r="AO22" s="372"/>
      <c r="AP22" s="372">
        <f>R22</f>
        <v>4</v>
      </c>
      <c r="AQ22" s="371">
        <f>SUMIF($R$9:$R$42,R22,$T$9:$T$42)</f>
        <v>25621.213912839001</v>
      </c>
      <c r="AR22" s="371">
        <f>SUMIF($R$9:$R$42,R22,$W$9:$W$42)</f>
        <v>55982.900000000009</v>
      </c>
      <c r="AS22" s="373">
        <f>SUMIF($R$9:$R$42,R22,$AH$9:$AH$42)</f>
        <v>6313.2384713358988</v>
      </c>
      <c r="AT22" s="373">
        <f>SUMIF($R$9:$R$42,R22,$AI$9:$AI$42)</f>
        <v>8869.4347907373231</v>
      </c>
      <c r="AU22" s="373">
        <f>SUMIF($R$9:$R$42,R22,$AJ$9:$AJ$42)</f>
        <v>0</v>
      </c>
      <c r="AV22" s="371">
        <f>SUM(AS22:AU22)</f>
        <v>15182.673262073222</v>
      </c>
      <c r="AW22" s="373">
        <f>SUMIF($R$9:$R$42,R22,$AL$9:$AL$42)</f>
        <v>10438.540650765777</v>
      </c>
      <c r="AX22" s="373">
        <f>SUMIF($R$9:$R$42,R22,$AM$9:$AM$42)</f>
        <v>2305.0707388953106</v>
      </c>
      <c r="AY22" s="373">
        <f>SUMIF($R$9:$R$42,R22,$AN$9:$AN$42)</f>
        <v>8133.4699118704657</v>
      </c>
    </row>
    <row r="23" spans="1:51">
      <c r="A23" s="21" t="s">
        <v>264</v>
      </c>
      <c r="B23" s="4" t="s">
        <v>324</v>
      </c>
      <c r="C23" s="4">
        <v>21</v>
      </c>
      <c r="D23" s="4">
        <v>21</v>
      </c>
      <c r="E23" s="4" t="s">
        <v>377</v>
      </c>
      <c r="F23" s="4" t="s">
        <v>378</v>
      </c>
      <c r="G23" s="4" t="s">
        <v>327</v>
      </c>
      <c r="H23" s="4" t="s">
        <v>379</v>
      </c>
      <c r="I23" s="5">
        <v>43867.5</v>
      </c>
      <c r="J23" s="4" t="s">
        <v>8</v>
      </c>
      <c r="K23" s="4" t="s">
        <v>380</v>
      </c>
      <c r="L23" s="4" t="s">
        <v>349</v>
      </c>
      <c r="M23" s="5">
        <v>12043.504999999999</v>
      </c>
      <c r="O23" s="5">
        <f t="shared" si="3"/>
        <v>0</v>
      </c>
      <c r="P23" s="5">
        <f t="shared" si="4"/>
        <v>12043.504999999999</v>
      </c>
      <c r="R23" s="372">
        <v>4</v>
      </c>
      <c r="S23" s="562">
        <f t="shared" si="8"/>
        <v>21</v>
      </c>
      <c r="T23" s="371">
        <f t="shared" si="9"/>
        <v>12043.504999999999</v>
      </c>
      <c r="U23" s="649">
        <f t="shared" ref="U23:U30" si="22">T23/$V$22</f>
        <v>0.47005989025230765</v>
      </c>
      <c r="V23" s="371"/>
      <c r="W23" s="650">
        <f t="shared" si="5"/>
        <v>43867.5</v>
      </c>
      <c r="X23" s="316" t="str">
        <f t="shared" si="6"/>
        <v>GASEOSAS LUX S.A</v>
      </c>
      <c r="Y23" s="316"/>
      <c r="Z23" s="373">
        <v>3897.9521</v>
      </c>
      <c r="AA23" s="373">
        <v>0</v>
      </c>
      <c r="AB23" s="373">
        <v>0</v>
      </c>
      <c r="AC23" s="651">
        <f t="shared" si="10"/>
        <v>3897.9521</v>
      </c>
      <c r="AD23" s="651">
        <f t="shared" si="11"/>
        <v>8145.5528999999988</v>
      </c>
      <c r="AE23" s="651">
        <f t="shared" si="7"/>
        <v>1267.861899999999</v>
      </c>
      <c r="AF23" s="651">
        <v>6877.6909999999998</v>
      </c>
      <c r="AG23" s="398">
        <f t="shared" si="12"/>
        <v>0.84434919083270588</v>
      </c>
      <c r="AH23" s="652">
        <f t="shared" si="13"/>
        <v>3753.7599310029159</v>
      </c>
      <c r="AI23" s="652">
        <f t="shared" si="14"/>
        <v>0</v>
      </c>
      <c r="AJ23" s="652">
        <f t="shared" si="15"/>
        <v>0</v>
      </c>
      <c r="AK23" s="651">
        <f t="shared" si="16"/>
        <v>3753.7599310029159</v>
      </c>
      <c r="AL23" s="371">
        <f t="shared" si="17"/>
        <v>8289.7450689970829</v>
      </c>
      <c r="AM23" s="652">
        <f t="shared" si="18"/>
        <v>1290.3055277799822</v>
      </c>
      <c r="AN23" s="652">
        <f t="shared" si="19"/>
        <v>6999.4395412171007</v>
      </c>
      <c r="AO23" s="372"/>
      <c r="AP23" s="372" t="s">
        <v>67</v>
      </c>
      <c r="AQ23" s="372" t="s">
        <v>67</v>
      </c>
      <c r="AR23" s="372" t="s">
        <v>67</v>
      </c>
      <c r="AS23" s="372" t="s">
        <v>67</v>
      </c>
      <c r="AT23" s="372" t="s">
        <v>67</v>
      </c>
      <c r="AU23" s="372" t="s">
        <v>67</v>
      </c>
      <c r="AV23" s="372" t="s">
        <v>67</v>
      </c>
      <c r="AW23" s="372" t="s">
        <v>67</v>
      </c>
      <c r="AX23" s="372" t="s">
        <v>67</v>
      </c>
      <c r="AY23" s="372" t="s">
        <v>67</v>
      </c>
    </row>
    <row r="24" spans="1:51">
      <c r="A24" s="14" t="s">
        <v>276</v>
      </c>
      <c r="B24" s="4" t="s">
        <v>324</v>
      </c>
      <c r="C24" s="4">
        <v>10</v>
      </c>
      <c r="D24" s="4">
        <v>10</v>
      </c>
      <c r="E24" s="4" t="s">
        <v>382</v>
      </c>
      <c r="F24" s="4" t="s">
        <v>383</v>
      </c>
      <c r="G24" s="4" t="s">
        <v>327</v>
      </c>
      <c r="H24" s="4" t="s">
        <v>384</v>
      </c>
      <c r="I24" s="5">
        <v>925.5</v>
      </c>
      <c r="J24" s="4" t="s">
        <v>347</v>
      </c>
      <c r="K24" s="4" t="s">
        <v>385</v>
      </c>
      <c r="L24" s="4" t="s">
        <v>386</v>
      </c>
      <c r="M24" s="20">
        <v>821.12635442700002</v>
      </c>
      <c r="O24" s="5">
        <f t="shared" si="3"/>
        <v>0</v>
      </c>
      <c r="P24" s="5">
        <f t="shared" si="4"/>
        <v>821.12635442700002</v>
      </c>
      <c r="R24" s="372">
        <v>4</v>
      </c>
      <c r="S24" s="562">
        <f t="shared" si="8"/>
        <v>10</v>
      </c>
      <c r="T24" s="371">
        <f t="shared" si="9"/>
        <v>821.12635442700002</v>
      </c>
      <c r="U24" s="649">
        <f t="shared" si="22"/>
        <v>3.2048690480489951E-2</v>
      </c>
      <c r="V24" s="371"/>
      <c r="W24" s="371">
        <f t="shared" si="5"/>
        <v>925.5</v>
      </c>
      <c r="X24" s="316" t="str">
        <f t="shared" si="6"/>
        <v>SKOTIABANK COLPATRIA</v>
      </c>
      <c r="Y24" s="316"/>
      <c r="Z24" s="373">
        <v>797.0104</v>
      </c>
      <c r="AA24" s="373">
        <v>4.7801</v>
      </c>
      <c r="AB24" s="373">
        <v>0</v>
      </c>
      <c r="AC24" s="651">
        <f t="shared" si="10"/>
        <v>801.79049999999995</v>
      </c>
      <c r="AD24" s="651">
        <f t="shared" si="11"/>
        <v>19.335854427000072</v>
      </c>
      <c r="AE24" s="651">
        <f t="shared" si="7"/>
        <v>19.335854427000072</v>
      </c>
      <c r="AF24" s="651">
        <v>0</v>
      </c>
      <c r="AG24" s="398">
        <f t="shared" si="12"/>
        <v>0</v>
      </c>
      <c r="AH24" s="652">
        <f t="shared" si="13"/>
        <v>767.52757021119021</v>
      </c>
      <c r="AI24" s="652">
        <f t="shared" si="14"/>
        <v>4.6032756139273845</v>
      </c>
      <c r="AJ24" s="652">
        <f t="shared" si="15"/>
        <v>0</v>
      </c>
      <c r="AK24" s="651">
        <f t="shared" si="16"/>
        <v>772.1308458251176</v>
      </c>
      <c r="AL24" s="371">
        <f t="shared" si="17"/>
        <v>48.99550860188242</v>
      </c>
      <c r="AM24" s="652">
        <f t="shared" si="18"/>
        <v>48.99550860188242</v>
      </c>
      <c r="AN24" s="652">
        <f t="shared" si="19"/>
        <v>0</v>
      </c>
      <c r="AO24" s="372"/>
      <c r="AP24" s="372" t="s">
        <v>67</v>
      </c>
      <c r="AQ24" s="372" t="s">
        <v>67</v>
      </c>
      <c r="AR24" s="372" t="s">
        <v>67</v>
      </c>
      <c r="AS24" s="372" t="s">
        <v>67</v>
      </c>
      <c r="AT24" s="372" t="s">
        <v>67</v>
      </c>
      <c r="AU24" s="372" t="s">
        <v>67</v>
      </c>
      <c r="AV24" s="372" t="s">
        <v>67</v>
      </c>
      <c r="AW24" s="372" t="s">
        <v>67</v>
      </c>
      <c r="AX24" s="372" t="s">
        <v>67</v>
      </c>
      <c r="AY24" s="372" t="s">
        <v>67</v>
      </c>
    </row>
    <row r="25" spans="1:51">
      <c r="A25" s="14" t="s">
        <v>277</v>
      </c>
      <c r="B25" s="4" t="s">
        <v>324</v>
      </c>
      <c r="C25" s="4">
        <v>5</v>
      </c>
      <c r="D25" s="4">
        <v>5</v>
      </c>
      <c r="E25" s="4" t="s">
        <v>388</v>
      </c>
      <c r="F25" s="4" t="s">
        <v>389</v>
      </c>
      <c r="G25" s="4" t="s">
        <v>327</v>
      </c>
      <c r="H25" s="4" t="s">
        <v>390</v>
      </c>
      <c r="I25" s="5">
        <v>1254.9000000000001</v>
      </c>
      <c r="J25" s="4" t="s">
        <v>347</v>
      </c>
      <c r="K25" s="4" t="s">
        <v>391</v>
      </c>
      <c r="L25" s="4" t="s">
        <v>349</v>
      </c>
      <c r="M25" s="20">
        <v>1206.97006059</v>
      </c>
      <c r="O25" s="5">
        <f t="shared" si="3"/>
        <v>0</v>
      </c>
      <c r="P25" s="5">
        <f t="shared" si="4"/>
        <v>1206.97006059</v>
      </c>
      <c r="R25" s="372">
        <v>4</v>
      </c>
      <c r="S25" s="562">
        <f t="shared" si="8"/>
        <v>5</v>
      </c>
      <c r="T25" s="371">
        <f t="shared" si="9"/>
        <v>1206.97006059</v>
      </c>
      <c r="U25" s="649">
        <f t="shared" si="22"/>
        <v>4.7108230886171144E-2</v>
      </c>
      <c r="V25" s="371"/>
      <c r="W25" s="371">
        <f t="shared" si="5"/>
        <v>1254.9000000000001</v>
      </c>
      <c r="X25" s="316" t="str">
        <f t="shared" si="6"/>
        <v>GASEOSAS LUX S.A</v>
      </c>
      <c r="Y25" s="316"/>
      <c r="Z25" s="373">
        <v>321.78859999999997</v>
      </c>
      <c r="AA25" s="373">
        <v>481.45519999999999</v>
      </c>
      <c r="AB25" s="373">
        <v>0</v>
      </c>
      <c r="AC25" s="651">
        <f t="shared" si="10"/>
        <v>803.24379999999996</v>
      </c>
      <c r="AD25" s="651">
        <f t="shared" si="11"/>
        <v>403.72626059000004</v>
      </c>
      <c r="AE25" s="651">
        <f t="shared" si="7"/>
        <v>181.14346059000005</v>
      </c>
      <c r="AF25" s="651">
        <v>222.58279999999999</v>
      </c>
      <c r="AG25" s="398">
        <f t="shared" si="12"/>
        <v>0.55132108492204723</v>
      </c>
      <c r="AH25" s="652">
        <f t="shared" si="13"/>
        <v>309.8850683499997</v>
      </c>
      <c r="AI25" s="652">
        <f t="shared" si="14"/>
        <v>463.64531732778221</v>
      </c>
      <c r="AJ25" s="652">
        <f t="shared" si="15"/>
        <v>0</v>
      </c>
      <c r="AK25" s="651">
        <f t="shared" si="16"/>
        <v>773.53038567778185</v>
      </c>
      <c r="AL25" s="371">
        <f t="shared" si="17"/>
        <v>433.43967491221815</v>
      </c>
      <c r="AM25" s="652">
        <f t="shared" si="18"/>
        <v>194.47524309135457</v>
      </c>
      <c r="AN25" s="652">
        <f t="shared" si="19"/>
        <v>238.96443182086358</v>
      </c>
      <c r="AO25" s="372"/>
      <c r="AP25" s="372" t="s">
        <v>67</v>
      </c>
      <c r="AQ25" s="372" t="s">
        <v>67</v>
      </c>
      <c r="AR25" s="372" t="s">
        <v>67</v>
      </c>
      <c r="AS25" s="372" t="s">
        <v>67</v>
      </c>
      <c r="AT25" s="372" t="s">
        <v>67</v>
      </c>
      <c r="AU25" s="372" t="s">
        <v>67</v>
      </c>
      <c r="AV25" s="372" t="s">
        <v>67</v>
      </c>
      <c r="AW25" s="372" t="s">
        <v>67</v>
      </c>
      <c r="AX25" s="372" t="s">
        <v>67</v>
      </c>
      <c r="AY25" s="372" t="s">
        <v>67</v>
      </c>
    </row>
    <row r="26" spans="1:51">
      <c r="A26" s="14" t="s">
        <v>278</v>
      </c>
      <c r="B26" s="4" t="s">
        <v>324</v>
      </c>
      <c r="C26" s="4">
        <v>9</v>
      </c>
      <c r="D26" s="4">
        <v>9</v>
      </c>
      <c r="E26" s="4" t="s">
        <v>399</v>
      </c>
      <c r="F26" s="4" t="s">
        <v>400</v>
      </c>
      <c r="G26" s="4" t="s">
        <v>327</v>
      </c>
      <c r="H26" s="4" t="s">
        <v>401</v>
      </c>
      <c r="I26" s="5">
        <v>924.9</v>
      </c>
      <c r="J26" s="4" t="s">
        <v>8</v>
      </c>
      <c r="K26" s="4" t="s">
        <v>402</v>
      </c>
      <c r="L26" s="4" t="s">
        <v>403</v>
      </c>
      <c r="M26" s="20">
        <v>819.92433800200001</v>
      </c>
      <c r="O26" s="5">
        <f t="shared" si="3"/>
        <v>0</v>
      </c>
      <c r="P26" s="5">
        <f t="shared" si="4"/>
        <v>819.92433800200001</v>
      </c>
      <c r="R26" s="372">
        <v>4</v>
      </c>
      <c r="S26" s="562">
        <f t="shared" si="8"/>
        <v>9</v>
      </c>
      <c r="T26" s="371">
        <f t="shared" si="9"/>
        <v>819.92433800200001</v>
      </c>
      <c r="U26" s="649">
        <f t="shared" si="22"/>
        <v>3.2001775590778284E-2</v>
      </c>
      <c r="V26" s="371"/>
      <c r="W26" s="371">
        <f t="shared" si="5"/>
        <v>924.9</v>
      </c>
      <c r="X26" s="316" t="str">
        <f t="shared" si="6"/>
        <v>BANCO DAVIVIENDA SA</v>
      </c>
      <c r="Y26" s="316"/>
      <c r="Z26" s="373">
        <v>117.3287</v>
      </c>
      <c r="AA26" s="373">
        <v>381.35700000000003</v>
      </c>
      <c r="AB26" s="373">
        <v>0</v>
      </c>
      <c r="AC26" s="651">
        <f t="shared" si="10"/>
        <v>498.6857</v>
      </c>
      <c r="AD26" s="651">
        <f t="shared" si="11"/>
        <v>321.23863800200002</v>
      </c>
      <c r="AE26" s="651">
        <f t="shared" si="7"/>
        <v>140.49073800200003</v>
      </c>
      <c r="AF26" s="651">
        <v>180.74789999999999</v>
      </c>
      <c r="AG26" s="398">
        <f t="shared" si="12"/>
        <v>0.56265927761427836</v>
      </c>
      <c r="AH26" s="652">
        <f t="shared" si="13"/>
        <v>112.98850306976881</v>
      </c>
      <c r="AI26" s="652">
        <f t="shared" si="14"/>
        <v>367.24992747024243</v>
      </c>
      <c r="AJ26" s="652">
        <f t="shared" si="15"/>
        <v>0</v>
      </c>
      <c r="AK26" s="651">
        <f t="shared" si="16"/>
        <v>480.23843054001122</v>
      </c>
      <c r="AL26" s="371">
        <f t="shared" si="17"/>
        <v>339.68590746198879</v>
      </c>
      <c r="AM26" s="652">
        <f t="shared" si="18"/>
        <v>148.55848015367556</v>
      </c>
      <c r="AN26" s="652">
        <f t="shared" si="19"/>
        <v>191.12742730831323</v>
      </c>
      <c r="AO26" s="372"/>
      <c r="AP26" s="372" t="s">
        <v>67</v>
      </c>
      <c r="AQ26" s="372" t="s">
        <v>67</v>
      </c>
      <c r="AR26" s="372" t="s">
        <v>67</v>
      </c>
      <c r="AS26" s="372" t="s">
        <v>67</v>
      </c>
      <c r="AT26" s="372" t="s">
        <v>67</v>
      </c>
      <c r="AU26" s="372" t="s">
        <v>67</v>
      </c>
      <c r="AV26" s="372" t="s">
        <v>67</v>
      </c>
      <c r="AW26" s="372" t="s">
        <v>67</v>
      </c>
      <c r="AX26" s="372" t="s">
        <v>67</v>
      </c>
      <c r="AY26" s="372" t="s">
        <v>67</v>
      </c>
    </row>
    <row r="27" spans="1:51">
      <c r="A27" s="14" t="s">
        <v>279</v>
      </c>
      <c r="B27" s="4" t="s">
        <v>324</v>
      </c>
      <c r="C27" s="4">
        <v>7</v>
      </c>
      <c r="D27" s="4">
        <v>7</v>
      </c>
      <c r="E27" s="4" t="s">
        <v>413</v>
      </c>
      <c r="F27" s="4" t="s">
        <v>414</v>
      </c>
      <c r="G27" s="4" t="s">
        <v>327</v>
      </c>
      <c r="H27" s="4" t="s">
        <v>415</v>
      </c>
      <c r="I27" s="5">
        <v>1142</v>
      </c>
      <c r="J27" s="4" t="s">
        <v>347</v>
      </c>
      <c r="K27" s="4" t="s">
        <v>416</v>
      </c>
      <c r="L27" s="4" t="s">
        <v>417</v>
      </c>
      <c r="M27" s="20">
        <v>820.64756360399997</v>
      </c>
      <c r="O27" s="5">
        <f t="shared" si="3"/>
        <v>0</v>
      </c>
      <c r="P27" s="5">
        <f t="shared" si="4"/>
        <v>820.64756360399997</v>
      </c>
      <c r="R27" s="372">
        <v>4</v>
      </c>
      <c r="S27" s="562">
        <f t="shared" si="8"/>
        <v>7</v>
      </c>
      <c r="T27" s="371">
        <f t="shared" si="9"/>
        <v>820.64756360399997</v>
      </c>
      <c r="U27" s="649">
        <f t="shared" si="22"/>
        <v>3.2030003199527042E-2</v>
      </c>
      <c r="V27" s="371"/>
      <c r="W27" s="371">
        <f t="shared" si="5"/>
        <v>1142</v>
      </c>
      <c r="X27" s="316" t="str">
        <f t="shared" si="6"/>
        <v>INDUSTRIAS MIWAL LIMITADA</v>
      </c>
      <c r="Y27" s="316"/>
      <c r="Z27" s="373">
        <v>116.4415</v>
      </c>
      <c r="AA27" s="373">
        <v>382.43779999999998</v>
      </c>
      <c r="AB27" s="373">
        <v>0</v>
      </c>
      <c r="AC27" s="651">
        <f t="shared" si="10"/>
        <v>498.8793</v>
      </c>
      <c r="AD27" s="651">
        <f t="shared" si="11"/>
        <v>321.76826360399997</v>
      </c>
      <c r="AE27" s="651">
        <f t="shared" si="7"/>
        <v>100.00306360399998</v>
      </c>
      <c r="AF27" s="651">
        <v>221.76519999999999</v>
      </c>
      <c r="AG27" s="398">
        <f t="shared" si="12"/>
        <v>0.68920780911111335</v>
      </c>
      <c r="AH27" s="652">
        <f t="shared" si="13"/>
        <v>112.13412217299336</v>
      </c>
      <c r="AI27" s="652">
        <f t="shared" si="14"/>
        <v>368.29074675928081</v>
      </c>
      <c r="AJ27" s="652">
        <f t="shared" si="15"/>
        <v>0</v>
      </c>
      <c r="AK27" s="651">
        <f t="shared" si="16"/>
        <v>480.42486893227419</v>
      </c>
      <c r="AL27" s="371">
        <f t="shared" si="17"/>
        <v>340.22269467172578</v>
      </c>
      <c r="AM27" s="652">
        <f t="shared" si="18"/>
        <v>105.73855666714641</v>
      </c>
      <c r="AN27" s="652">
        <f t="shared" si="19"/>
        <v>234.48413800457936</v>
      </c>
      <c r="AO27" s="372"/>
      <c r="AP27" s="372" t="s">
        <v>67</v>
      </c>
      <c r="AQ27" s="372" t="s">
        <v>67</v>
      </c>
      <c r="AR27" s="372" t="s">
        <v>67</v>
      </c>
      <c r="AS27" s="372" t="s">
        <v>67</v>
      </c>
      <c r="AT27" s="372" t="s">
        <v>67</v>
      </c>
      <c r="AU27" s="372" t="s">
        <v>67</v>
      </c>
      <c r="AV27" s="372" t="s">
        <v>67</v>
      </c>
      <c r="AW27" s="372" t="s">
        <v>67</v>
      </c>
      <c r="AX27" s="372" t="s">
        <v>67</v>
      </c>
      <c r="AY27" s="372" t="s">
        <v>67</v>
      </c>
    </row>
    <row r="28" spans="1:51">
      <c r="A28" s="22" t="s">
        <v>274</v>
      </c>
      <c r="B28" s="4" t="s">
        <v>324</v>
      </c>
      <c r="C28" s="4">
        <v>11</v>
      </c>
      <c r="D28" s="4">
        <v>11</v>
      </c>
      <c r="E28" s="4" t="s">
        <v>429</v>
      </c>
      <c r="F28" s="4" t="s">
        <v>430</v>
      </c>
      <c r="G28" s="4" t="s">
        <v>327</v>
      </c>
      <c r="H28" s="4" t="s">
        <v>431</v>
      </c>
      <c r="I28" s="5">
        <v>826</v>
      </c>
      <c r="J28" s="4" t="s">
        <v>347</v>
      </c>
      <c r="K28" s="4" t="s">
        <v>432</v>
      </c>
      <c r="L28" s="4" t="s">
        <v>433</v>
      </c>
      <c r="M28" s="20">
        <v>152.39250000000001</v>
      </c>
      <c r="O28" s="5">
        <f t="shared" si="3"/>
        <v>0</v>
      </c>
      <c r="P28" s="5">
        <f t="shared" si="4"/>
        <v>152.39250000000001</v>
      </c>
      <c r="R28" s="372">
        <v>4</v>
      </c>
      <c r="S28" s="562">
        <f t="shared" si="8"/>
        <v>11</v>
      </c>
      <c r="T28" s="371">
        <f t="shared" si="9"/>
        <v>152.39250000000001</v>
      </c>
      <c r="U28" s="649">
        <f t="shared" si="22"/>
        <v>5.947903191411039E-3</v>
      </c>
      <c r="V28" s="371"/>
      <c r="W28" s="653">
        <f t="shared" si="5"/>
        <v>826</v>
      </c>
      <c r="X28" s="316" t="str">
        <f t="shared" si="6"/>
        <v>TRES PROPIETARIOS, NATURALES</v>
      </c>
      <c r="Y28" s="316"/>
      <c r="Z28" s="373">
        <v>152.39250000000001</v>
      </c>
      <c r="AA28" s="373">
        <v>0</v>
      </c>
      <c r="AB28" s="373">
        <v>0</v>
      </c>
      <c r="AC28" s="651">
        <f t="shared" si="10"/>
        <v>152.39250000000001</v>
      </c>
      <c r="AD28" s="651">
        <f t="shared" si="11"/>
        <v>0</v>
      </c>
      <c r="AE28" s="651">
        <f t="shared" si="7"/>
        <v>0</v>
      </c>
      <c r="AF28" s="651">
        <v>0</v>
      </c>
      <c r="AG28" s="398">
        <f t="shared" si="12"/>
        <v>0</v>
      </c>
      <c r="AH28" s="652">
        <f t="shared" si="13"/>
        <v>146.75523085195476</v>
      </c>
      <c r="AI28" s="652">
        <f t="shared" si="14"/>
        <v>0</v>
      </c>
      <c r="AJ28" s="652">
        <f t="shared" si="15"/>
        <v>0</v>
      </c>
      <c r="AK28" s="651">
        <f t="shared" si="16"/>
        <v>146.75523085195476</v>
      </c>
      <c r="AL28" s="371">
        <f t="shared" si="17"/>
        <v>5.6372691480452488</v>
      </c>
      <c r="AM28" s="652">
        <f t="shared" si="18"/>
        <v>5.6372691480452488</v>
      </c>
      <c r="AN28" s="652">
        <f t="shared" si="19"/>
        <v>0</v>
      </c>
      <c r="AO28" s="372"/>
      <c r="AP28" s="372" t="s">
        <v>67</v>
      </c>
      <c r="AQ28" s="372" t="s">
        <v>67</v>
      </c>
      <c r="AR28" s="372" t="s">
        <v>67</v>
      </c>
      <c r="AS28" s="372" t="s">
        <v>67</v>
      </c>
      <c r="AT28" s="372" t="s">
        <v>67</v>
      </c>
      <c r="AU28" s="372" t="s">
        <v>67</v>
      </c>
      <c r="AV28" s="372" t="s">
        <v>67</v>
      </c>
      <c r="AW28" s="372" t="s">
        <v>67</v>
      </c>
      <c r="AX28" s="372" t="s">
        <v>67</v>
      </c>
      <c r="AY28" s="372" t="s">
        <v>67</v>
      </c>
    </row>
    <row r="29" spans="1:51">
      <c r="A29" s="23" t="s">
        <v>280</v>
      </c>
      <c r="B29" s="4" t="s">
        <v>324</v>
      </c>
      <c r="C29" s="4">
        <v>4</v>
      </c>
      <c r="D29" s="4">
        <v>4</v>
      </c>
      <c r="E29" s="4" t="s">
        <v>436</v>
      </c>
      <c r="F29" s="4" t="s">
        <v>437</v>
      </c>
      <c r="G29" s="4" t="s">
        <v>327</v>
      </c>
      <c r="H29" s="4" t="s">
        <v>438</v>
      </c>
      <c r="I29" s="5">
        <v>5295.8</v>
      </c>
      <c r="J29" s="4" t="s">
        <v>8</v>
      </c>
      <c r="K29" s="4" t="s">
        <v>439</v>
      </c>
      <c r="L29" s="4" t="s">
        <v>349</v>
      </c>
      <c r="M29" s="20">
        <v>8115.2677000000003</v>
      </c>
      <c r="O29" s="5">
        <f t="shared" si="3"/>
        <v>0</v>
      </c>
      <c r="P29" s="5">
        <f t="shared" si="4"/>
        <v>8115.2677000000003</v>
      </c>
      <c r="R29" s="372">
        <v>4</v>
      </c>
      <c r="S29" s="562">
        <f t="shared" si="8"/>
        <v>4</v>
      </c>
      <c r="T29" s="371">
        <f t="shared" si="9"/>
        <v>8115.2677000000003</v>
      </c>
      <c r="U29" s="649">
        <f t="shared" si="22"/>
        <v>0.31674017193749643</v>
      </c>
      <c r="V29" s="371"/>
      <c r="W29" s="654">
        <f t="shared" si="5"/>
        <v>5295.8</v>
      </c>
      <c r="X29" s="316" t="str">
        <f t="shared" si="6"/>
        <v>GASEOSAS LUX S.A</v>
      </c>
      <c r="Y29" s="316"/>
      <c r="Z29" s="373">
        <v>920.30669999999998</v>
      </c>
      <c r="AA29" s="373">
        <v>7194.9610000000002</v>
      </c>
      <c r="AB29" s="373">
        <v>0</v>
      </c>
      <c r="AC29" s="651">
        <f t="shared" si="10"/>
        <v>8115.2677000000003</v>
      </c>
      <c r="AD29" s="651">
        <f t="shared" si="11"/>
        <v>0</v>
      </c>
      <c r="AE29" s="651">
        <f t="shared" si="7"/>
        <v>0</v>
      </c>
      <c r="AF29" s="651">
        <v>0</v>
      </c>
      <c r="AG29" s="398">
        <f t="shared" si="12"/>
        <v>0</v>
      </c>
      <c r="AH29" s="652">
        <f t="shared" si="13"/>
        <v>886.26292116147886</v>
      </c>
      <c r="AI29" s="652">
        <f t="shared" si="14"/>
        <v>6928.8066179491207</v>
      </c>
      <c r="AJ29" s="652">
        <f t="shared" si="15"/>
        <v>0</v>
      </c>
      <c r="AK29" s="651">
        <f t="shared" si="16"/>
        <v>7815.0695391105992</v>
      </c>
      <c r="AL29" s="371">
        <f t="shared" si="17"/>
        <v>300.19816088940115</v>
      </c>
      <c r="AM29" s="652">
        <f t="shared" si="18"/>
        <v>300.19816088940115</v>
      </c>
      <c r="AN29" s="652">
        <f t="shared" si="19"/>
        <v>0</v>
      </c>
      <c r="AO29" s="372"/>
      <c r="AP29" s="372" t="s">
        <v>67</v>
      </c>
      <c r="AQ29" s="372" t="s">
        <v>67</v>
      </c>
      <c r="AR29" s="372" t="s">
        <v>67</v>
      </c>
      <c r="AS29" s="372" t="s">
        <v>67</v>
      </c>
      <c r="AT29" s="372" t="s">
        <v>67</v>
      </c>
      <c r="AU29" s="372" t="s">
        <v>67</v>
      </c>
      <c r="AV29" s="372" t="s">
        <v>67</v>
      </c>
      <c r="AW29" s="372" t="s">
        <v>67</v>
      </c>
      <c r="AX29" s="372" t="s">
        <v>67</v>
      </c>
      <c r="AY29" s="372" t="s">
        <v>67</v>
      </c>
    </row>
    <row r="30" spans="1:51">
      <c r="A30" s="14" t="s">
        <v>281</v>
      </c>
      <c r="B30" s="4" t="s">
        <v>324</v>
      </c>
      <c r="C30" s="4">
        <v>8</v>
      </c>
      <c r="D30" s="4">
        <v>8</v>
      </c>
      <c r="E30" s="4" t="s">
        <v>452</v>
      </c>
      <c r="F30" s="4" t="s">
        <v>453</v>
      </c>
      <c r="G30" s="4" t="s">
        <v>327</v>
      </c>
      <c r="H30" s="4" t="s">
        <v>454</v>
      </c>
      <c r="I30" s="5">
        <v>926.3</v>
      </c>
      <c r="J30" s="4" t="s">
        <v>8</v>
      </c>
      <c r="K30" s="4" t="s">
        <v>455</v>
      </c>
      <c r="L30" s="4" t="s">
        <v>433</v>
      </c>
      <c r="M30" s="20">
        <v>821.42511348200003</v>
      </c>
      <c r="O30" s="5">
        <f t="shared" si="3"/>
        <v>0</v>
      </c>
      <c r="P30" s="5">
        <f t="shared" si="4"/>
        <v>821.42511348200003</v>
      </c>
      <c r="R30" s="372">
        <v>4</v>
      </c>
      <c r="S30" s="562">
        <f t="shared" si="8"/>
        <v>8</v>
      </c>
      <c r="T30" s="371">
        <f t="shared" si="9"/>
        <v>821.42511348200003</v>
      </c>
      <c r="U30" s="649">
        <f t="shared" si="22"/>
        <v>3.2060351093293714E-2</v>
      </c>
      <c r="V30" s="371"/>
      <c r="W30" s="371">
        <f t="shared" si="5"/>
        <v>926.3</v>
      </c>
      <c r="X30" s="316" t="str">
        <f t="shared" si="6"/>
        <v>TRES PROPIETARIOS, NATURALES</v>
      </c>
      <c r="Y30" s="316"/>
      <c r="Z30" s="373">
        <v>116.79510000000001</v>
      </c>
      <c r="AA30" s="373">
        <v>383.10649999999998</v>
      </c>
      <c r="AB30" s="373">
        <v>0</v>
      </c>
      <c r="AC30" s="651">
        <f t="shared" si="10"/>
        <v>499.90159999999997</v>
      </c>
      <c r="AD30" s="651">
        <f t="shared" si="11"/>
        <v>321.52351348200006</v>
      </c>
      <c r="AE30" s="651">
        <f t="shared" si="7"/>
        <v>99.758313482000062</v>
      </c>
      <c r="AF30" s="651">
        <v>221.76519999999999</v>
      </c>
      <c r="AG30" s="398">
        <f t="shared" si="12"/>
        <v>0.68973244786470378</v>
      </c>
      <c r="AH30" s="652">
        <f t="shared" si="13"/>
        <v>112.47464188117618</v>
      </c>
      <c r="AI30" s="652">
        <f t="shared" si="14"/>
        <v>368.93471035900325</v>
      </c>
      <c r="AJ30" s="652">
        <f t="shared" si="15"/>
        <v>0</v>
      </c>
      <c r="AK30" s="651">
        <f t="shared" si="16"/>
        <v>481.40935224017943</v>
      </c>
      <c r="AL30" s="371">
        <f t="shared" si="17"/>
        <v>340.0157612418206</v>
      </c>
      <c r="AM30" s="652">
        <f t="shared" si="18"/>
        <v>105.49585792791899</v>
      </c>
      <c r="AN30" s="652">
        <f t="shared" si="19"/>
        <v>234.51990331390161</v>
      </c>
      <c r="AO30" s="372"/>
      <c r="AP30" s="372" t="s">
        <v>67</v>
      </c>
      <c r="AQ30" s="372" t="s">
        <v>67</v>
      </c>
      <c r="AR30" s="372" t="s">
        <v>67</v>
      </c>
      <c r="AS30" s="372" t="s">
        <v>67</v>
      </c>
      <c r="AT30" s="372" t="s">
        <v>67</v>
      </c>
      <c r="AU30" s="372" t="s">
        <v>67</v>
      </c>
      <c r="AV30" s="372" t="s">
        <v>67</v>
      </c>
      <c r="AW30" s="372" t="s">
        <v>67</v>
      </c>
      <c r="AX30" s="372" t="s">
        <v>67</v>
      </c>
      <c r="AY30" s="372" t="s">
        <v>67</v>
      </c>
    </row>
    <row r="31" spans="1:51">
      <c r="A31" s="14" t="s">
        <v>282</v>
      </c>
      <c r="B31" s="4" t="s">
        <v>324</v>
      </c>
      <c r="C31" s="4">
        <v>30</v>
      </c>
      <c r="D31" s="4">
        <v>30</v>
      </c>
      <c r="E31" s="4" t="s">
        <v>351</v>
      </c>
      <c r="F31" s="4" t="s">
        <v>352</v>
      </c>
      <c r="G31" s="4" t="s">
        <v>327</v>
      </c>
      <c r="H31" s="4" t="s">
        <v>353</v>
      </c>
      <c r="I31" s="5">
        <v>3609.13</v>
      </c>
      <c r="J31" s="4" t="s">
        <v>347</v>
      </c>
      <c r="K31" s="4" t="s">
        <v>354</v>
      </c>
      <c r="L31" s="4" t="s">
        <v>349</v>
      </c>
      <c r="M31" s="20">
        <v>3942.0852054000002</v>
      </c>
      <c r="O31" s="5">
        <f t="shared" si="3"/>
        <v>0</v>
      </c>
      <c r="P31" s="5">
        <f t="shared" si="4"/>
        <v>3942.0852054000002</v>
      </c>
      <c r="R31" s="529">
        <v>5</v>
      </c>
      <c r="S31" s="562">
        <f t="shared" si="8"/>
        <v>30</v>
      </c>
      <c r="T31" s="371">
        <f t="shared" si="9"/>
        <v>3942.0852054000002</v>
      </c>
      <c r="U31" s="649">
        <f>T31/$V$31</f>
        <v>0.14579782562574634</v>
      </c>
      <c r="V31" s="371">
        <f>SUMIF(R31:R64,R31,T31:T64)</f>
        <v>27038.024665190002</v>
      </c>
      <c r="W31" s="371">
        <f t="shared" si="5"/>
        <v>3609.13</v>
      </c>
      <c r="X31" s="316" t="str">
        <f t="shared" si="6"/>
        <v>GASEOSAS LUX S.A</v>
      </c>
      <c r="Y31" s="316"/>
      <c r="Z31" s="373">
        <v>317.20139999999998</v>
      </c>
      <c r="AA31" s="373">
        <v>2657.8287</v>
      </c>
      <c r="AB31" s="373">
        <v>965.28579999999999</v>
      </c>
      <c r="AC31" s="651">
        <f t="shared" si="10"/>
        <v>3940.3159000000001</v>
      </c>
      <c r="AD31" s="651">
        <f t="shared" si="11"/>
        <v>1.7693054000001212</v>
      </c>
      <c r="AE31" s="651">
        <f t="shared" si="7"/>
        <v>1.7693054000001212</v>
      </c>
      <c r="AF31" s="651">
        <v>0</v>
      </c>
      <c r="AG31" s="398">
        <f t="shared" si="12"/>
        <v>0</v>
      </c>
      <c r="AH31" s="652">
        <f t="shared" si="13"/>
        <v>305.46755702257815</v>
      </c>
      <c r="AI31" s="652">
        <f t="shared" si="14"/>
        <v>2559.5108974093268</v>
      </c>
      <c r="AJ31" s="652">
        <f t="shared" si="15"/>
        <v>929.57816439203918</v>
      </c>
      <c r="AK31" s="651">
        <f t="shared" si="16"/>
        <v>3794.5566188239441</v>
      </c>
      <c r="AL31" s="371">
        <f t="shared" si="17"/>
        <v>147.52858657605611</v>
      </c>
      <c r="AM31" s="652">
        <f t="shared" si="18"/>
        <v>147.52858657605611</v>
      </c>
      <c r="AN31" s="652">
        <f t="shared" si="19"/>
        <v>0</v>
      </c>
      <c r="AO31" s="372"/>
      <c r="AP31" s="372">
        <f>R31</f>
        <v>5</v>
      </c>
      <c r="AQ31" s="371">
        <f>SUMIF($R$9:$R$42,R31,$T$9:$T$42)</f>
        <v>27038.024665190002</v>
      </c>
      <c r="AR31" s="371">
        <f>SUMIF($R$9:$R$42,R31,$W$9:$W$42)</f>
        <v>18321.63</v>
      </c>
      <c r="AS31" s="373">
        <f>SUMIF($R$9:$R$42,R31,$AH$9:$AH$42)</f>
        <v>2870.317660930994</v>
      </c>
      <c r="AT31" s="373">
        <f>SUMIF($R$9:$R$42,R31,$AI$9:$AI$42)</f>
        <v>13279.248504517975</v>
      </c>
      <c r="AU31" s="373">
        <f>SUMIF($R$9:$R$42,R31,$AJ$9:$AJ$42)</f>
        <v>2806.2957185564351</v>
      </c>
      <c r="AV31" s="371">
        <f>SUM(AS31:AU31)</f>
        <v>18955.861884005404</v>
      </c>
      <c r="AW31" s="373">
        <f>SUMIF($R$9:$R$42,R31,$AL$9:$AL$42)</f>
        <v>8082.1627811845956</v>
      </c>
      <c r="AX31" s="373">
        <f>SUMIF($R$9:$R$42,R31,$AM$9:$AM$42)</f>
        <v>2084.0473711146651</v>
      </c>
      <c r="AY31" s="373">
        <f>SUMIF($R$9:$R$42,R31,$AN$9:$AN$42)</f>
        <v>5998.1154100699305</v>
      </c>
    </row>
    <row r="32" spans="1:51">
      <c r="A32" s="14" t="s">
        <v>283</v>
      </c>
      <c r="B32" s="4" t="s">
        <v>324</v>
      </c>
      <c r="C32" s="4">
        <v>3</v>
      </c>
      <c r="D32" s="4">
        <v>3</v>
      </c>
      <c r="E32" s="4" t="s">
        <v>356</v>
      </c>
      <c r="F32" s="4" t="s">
        <v>357</v>
      </c>
      <c r="G32" s="4" t="s">
        <v>327</v>
      </c>
      <c r="H32" s="4" t="s">
        <v>358</v>
      </c>
      <c r="I32" s="5">
        <v>1412.7</v>
      </c>
      <c r="J32" s="4" t="s">
        <v>8</v>
      </c>
      <c r="K32" s="4" t="s">
        <v>359</v>
      </c>
      <c r="L32" s="4" t="s">
        <v>349</v>
      </c>
      <c r="M32" s="20">
        <v>4690.4131096499996</v>
      </c>
      <c r="O32" s="5">
        <f t="shared" si="3"/>
        <v>0</v>
      </c>
      <c r="P32" s="5">
        <f t="shared" si="4"/>
        <v>4690.4131096499996</v>
      </c>
      <c r="R32" s="529">
        <v>5</v>
      </c>
      <c r="S32" s="562">
        <f t="shared" si="8"/>
        <v>3</v>
      </c>
      <c r="T32" s="371">
        <f t="shared" si="9"/>
        <v>4690.4131096499996</v>
      </c>
      <c r="U32" s="649">
        <f t="shared" ref="U32:U34" si="23">T32/$V$31</f>
        <v>0.17347469601537324</v>
      </c>
      <c r="V32" s="371"/>
      <c r="W32" s="371">
        <f t="shared" si="5"/>
        <v>1412.7</v>
      </c>
      <c r="X32" s="316" t="str">
        <f t="shared" si="6"/>
        <v>GASEOSAS LUX S.A</v>
      </c>
      <c r="Y32" s="316"/>
      <c r="Z32" s="373">
        <v>835.62860000000001</v>
      </c>
      <c r="AA32" s="373">
        <v>1903.5054</v>
      </c>
      <c r="AB32" s="373">
        <v>1948.8073999999999</v>
      </c>
      <c r="AC32" s="651">
        <f t="shared" si="10"/>
        <v>4687.9413999999997</v>
      </c>
      <c r="AD32" s="651">
        <f t="shared" si="11"/>
        <v>2.4717096499998661</v>
      </c>
      <c r="AE32" s="651">
        <f t="shared" si="7"/>
        <v>2.4717096499998661</v>
      </c>
      <c r="AF32" s="651">
        <v>0</v>
      </c>
      <c r="AG32" s="398">
        <f t="shared" si="12"/>
        <v>0</v>
      </c>
      <c r="AH32" s="652">
        <f t="shared" si="13"/>
        <v>804.71721442653518</v>
      </c>
      <c r="AI32" s="652">
        <f t="shared" si="14"/>
        <v>1833.0913555781451</v>
      </c>
      <c r="AJ32" s="652">
        <f t="shared" si="15"/>
        <v>1876.717554164396</v>
      </c>
      <c r="AK32" s="651">
        <f t="shared" si="16"/>
        <v>4514.5261241690769</v>
      </c>
      <c r="AL32" s="371">
        <f t="shared" si="17"/>
        <v>175.8869854809227</v>
      </c>
      <c r="AM32" s="652">
        <f t="shared" si="18"/>
        <v>175.8869854809227</v>
      </c>
      <c r="AN32" s="652">
        <f t="shared" si="19"/>
        <v>0</v>
      </c>
      <c r="AO32" s="372"/>
      <c r="AP32" s="372" t="s">
        <v>67</v>
      </c>
      <c r="AQ32" s="372" t="s">
        <v>67</v>
      </c>
      <c r="AR32" s="372" t="s">
        <v>67</v>
      </c>
      <c r="AS32" s="372" t="s">
        <v>67</v>
      </c>
      <c r="AT32" s="372" t="s">
        <v>67</v>
      </c>
      <c r="AU32" s="372" t="s">
        <v>67</v>
      </c>
      <c r="AV32" s="372" t="s">
        <v>67</v>
      </c>
      <c r="AW32" s="372" t="s">
        <v>67</v>
      </c>
      <c r="AX32" s="372" t="s">
        <v>67</v>
      </c>
      <c r="AY32" s="372" t="s">
        <v>67</v>
      </c>
    </row>
    <row r="33" spans="1:51">
      <c r="A33" s="14" t="s">
        <v>284</v>
      </c>
      <c r="B33" s="4" t="s">
        <v>324</v>
      </c>
      <c r="C33" s="4">
        <v>29</v>
      </c>
      <c r="D33" s="4">
        <v>29</v>
      </c>
      <c r="E33" s="4" t="s">
        <v>394</v>
      </c>
      <c r="F33" s="4" t="s">
        <v>395</v>
      </c>
      <c r="G33" s="4" t="s">
        <v>327</v>
      </c>
      <c r="H33" s="4" t="s">
        <v>396</v>
      </c>
      <c r="I33" s="5">
        <v>8004</v>
      </c>
      <c r="J33" s="4" t="s">
        <v>347</v>
      </c>
      <c r="K33" s="4" t="s">
        <v>397</v>
      </c>
      <c r="L33" s="4" t="s">
        <v>349</v>
      </c>
      <c r="M33" s="20">
        <v>6020.3174501399999</v>
      </c>
      <c r="O33" s="5">
        <f t="shared" si="3"/>
        <v>0</v>
      </c>
      <c r="P33" s="5">
        <f t="shared" si="4"/>
        <v>6020.3174501399999</v>
      </c>
      <c r="R33" s="529">
        <v>5</v>
      </c>
      <c r="S33" s="562">
        <f t="shared" si="8"/>
        <v>29</v>
      </c>
      <c r="T33" s="371">
        <f t="shared" si="9"/>
        <v>6020.3174501399999</v>
      </c>
      <c r="U33" s="649">
        <f t="shared" si="23"/>
        <v>0.22266114202827966</v>
      </c>
      <c r="V33" s="371"/>
      <c r="W33" s="371">
        <f t="shared" si="5"/>
        <v>8004</v>
      </c>
      <c r="X33" s="316" t="str">
        <f t="shared" si="6"/>
        <v>GASEOSAS LUX S.A</v>
      </c>
      <c r="Y33" s="316"/>
      <c r="Z33" s="373">
        <v>160.14259999999999</v>
      </c>
      <c r="AA33" s="373">
        <v>1758.3617999999999</v>
      </c>
      <c r="AB33" s="373">
        <v>0</v>
      </c>
      <c r="AC33" s="651">
        <f t="shared" si="10"/>
        <v>1918.5043999999998</v>
      </c>
      <c r="AD33" s="651">
        <f t="shared" si="11"/>
        <v>4101.8130501400001</v>
      </c>
      <c r="AE33" s="651">
        <f t="shared" si="7"/>
        <v>896.41015014000004</v>
      </c>
      <c r="AF33" s="651">
        <v>3205.4029</v>
      </c>
      <c r="AG33" s="398">
        <f t="shared" si="12"/>
        <v>0.78146001800120934</v>
      </c>
      <c r="AH33" s="652">
        <f t="shared" si="13"/>
        <v>154.21864089264398</v>
      </c>
      <c r="AI33" s="652">
        <f t="shared" si="14"/>
        <v>1693.3168750447608</v>
      </c>
      <c r="AJ33" s="652">
        <f t="shared" si="15"/>
        <v>0</v>
      </c>
      <c r="AK33" s="651">
        <f t="shared" si="16"/>
        <v>1847.5355159374049</v>
      </c>
      <c r="AL33" s="371">
        <f t="shared" si="17"/>
        <v>4172.781934202595</v>
      </c>
      <c r="AM33" s="652">
        <f t="shared" si="18"/>
        <v>911.91968878551415</v>
      </c>
      <c r="AN33" s="652">
        <f t="shared" si="19"/>
        <v>3260.8622454170809</v>
      </c>
      <c r="AO33" s="372"/>
      <c r="AP33" s="372" t="s">
        <v>67</v>
      </c>
      <c r="AQ33" s="372" t="s">
        <v>67</v>
      </c>
      <c r="AR33" s="372" t="s">
        <v>67</v>
      </c>
      <c r="AS33" s="372" t="s">
        <v>67</v>
      </c>
      <c r="AT33" s="372" t="s">
        <v>67</v>
      </c>
      <c r="AU33" s="372" t="s">
        <v>67</v>
      </c>
      <c r="AV33" s="372" t="s">
        <v>67</v>
      </c>
      <c r="AW33" s="372" t="s">
        <v>67</v>
      </c>
      <c r="AX33" s="372" t="s">
        <v>67</v>
      </c>
      <c r="AY33" s="372" t="s">
        <v>67</v>
      </c>
    </row>
    <row r="34" spans="1:51">
      <c r="A34" s="23" t="s">
        <v>280</v>
      </c>
      <c r="B34" s="4" t="s">
        <v>324</v>
      </c>
      <c r="C34" s="4">
        <v>4</v>
      </c>
      <c r="D34" s="4">
        <v>4</v>
      </c>
      <c r="E34" s="4" t="s">
        <v>436</v>
      </c>
      <c r="F34" s="4" t="s">
        <v>437</v>
      </c>
      <c r="G34" s="4" t="s">
        <v>327</v>
      </c>
      <c r="H34" s="4" t="s">
        <v>438</v>
      </c>
      <c r="I34" s="5">
        <v>5295.8</v>
      </c>
      <c r="J34" s="4" t="s">
        <v>8</v>
      </c>
      <c r="K34" s="4" t="s">
        <v>439</v>
      </c>
      <c r="L34" s="4" t="s">
        <v>349</v>
      </c>
      <c r="M34" s="20">
        <v>12385.2089</v>
      </c>
      <c r="O34" s="5">
        <f t="shared" si="3"/>
        <v>0</v>
      </c>
      <c r="P34" s="5">
        <f t="shared" si="4"/>
        <v>12385.2089</v>
      </c>
      <c r="R34" s="529">
        <v>5</v>
      </c>
      <c r="S34" s="562">
        <f t="shared" si="8"/>
        <v>4</v>
      </c>
      <c r="T34" s="371">
        <f t="shared" si="9"/>
        <v>12385.2089</v>
      </c>
      <c r="U34" s="649">
        <f t="shared" si="23"/>
        <v>0.45806633633060068</v>
      </c>
      <c r="V34" s="371"/>
      <c r="W34" s="654">
        <f t="shared" si="5"/>
        <v>5295.8</v>
      </c>
      <c r="X34" s="316" t="str">
        <f t="shared" si="6"/>
        <v>GASEOSAS LUX S.A</v>
      </c>
      <c r="Y34" s="316"/>
      <c r="Z34" s="373">
        <v>1667.6017999999999</v>
      </c>
      <c r="AA34" s="373">
        <v>7469.6448</v>
      </c>
      <c r="AB34" s="373">
        <v>0</v>
      </c>
      <c r="AC34" s="651">
        <f>SUM(Z34:AB34)</f>
        <v>9137.2466000000004</v>
      </c>
      <c r="AD34" s="651">
        <f t="shared" si="11"/>
        <v>3247.9622999999992</v>
      </c>
      <c r="AE34" s="651">
        <f t="shared" si="7"/>
        <v>768.71489999999903</v>
      </c>
      <c r="AF34" s="651">
        <v>2479.2474000000002</v>
      </c>
      <c r="AG34" s="398">
        <f t="shared" si="12"/>
        <v>0.76332394621698685</v>
      </c>
      <c r="AH34" s="652">
        <f t="shared" si="13"/>
        <v>1605.9142485892369</v>
      </c>
      <c r="AI34" s="652">
        <f t="shared" si="14"/>
        <v>7193.3293764857417</v>
      </c>
      <c r="AJ34" s="652">
        <f t="shared" si="15"/>
        <v>0</v>
      </c>
      <c r="AK34" s="651">
        <f t="shared" si="16"/>
        <v>8799.2436250749779</v>
      </c>
      <c r="AL34" s="371">
        <f t="shared" si="17"/>
        <v>3585.9652749250217</v>
      </c>
      <c r="AM34" s="652">
        <f t="shared" si="18"/>
        <v>848.71211027217214</v>
      </c>
      <c r="AN34" s="652">
        <f t="shared" si="19"/>
        <v>2737.2531646528496</v>
      </c>
      <c r="AO34" s="372"/>
      <c r="AP34" s="372" t="s">
        <v>67</v>
      </c>
      <c r="AQ34" s="372" t="s">
        <v>67</v>
      </c>
      <c r="AR34" s="372" t="s">
        <v>67</v>
      </c>
      <c r="AS34" s="372" t="s">
        <v>67</v>
      </c>
      <c r="AT34" s="372" t="s">
        <v>67</v>
      </c>
      <c r="AU34" s="372" t="s">
        <v>67</v>
      </c>
      <c r="AV34" s="372" t="s">
        <v>67</v>
      </c>
      <c r="AW34" s="372" t="s">
        <v>67</v>
      </c>
      <c r="AX34" s="372" t="s">
        <v>67</v>
      </c>
      <c r="AY34" s="372" t="s">
        <v>67</v>
      </c>
    </row>
    <row r="35" spans="1:51">
      <c r="A35" s="14" t="s">
        <v>285</v>
      </c>
      <c r="B35" s="4" t="s">
        <v>324</v>
      </c>
      <c r="C35" s="4">
        <v>28</v>
      </c>
      <c r="D35" s="4">
        <v>28</v>
      </c>
      <c r="E35" s="4" t="s">
        <v>335</v>
      </c>
      <c r="F35" s="4" t="s">
        <v>336</v>
      </c>
      <c r="G35" s="4" t="s">
        <v>327</v>
      </c>
      <c r="H35" s="4" t="s">
        <v>337</v>
      </c>
      <c r="I35" s="5">
        <v>0</v>
      </c>
      <c r="J35" s="4" t="s">
        <v>338</v>
      </c>
      <c r="K35" s="4" t="s">
        <v>339</v>
      </c>
      <c r="L35" s="4" t="s">
        <v>340</v>
      </c>
      <c r="M35" s="20">
        <v>1559.45903918</v>
      </c>
      <c r="O35" s="5">
        <f t="shared" si="3"/>
        <v>0</v>
      </c>
      <c r="P35" s="5">
        <f t="shared" si="4"/>
        <v>1559.45903918</v>
      </c>
      <c r="R35" s="372">
        <v>6</v>
      </c>
      <c r="S35" s="562">
        <f t="shared" si="8"/>
        <v>28</v>
      </c>
      <c r="T35" s="371">
        <f t="shared" si="9"/>
        <v>1559.45903918</v>
      </c>
      <c r="U35" s="649">
        <f>T35/$V$35</f>
        <v>7.394340805707221E-2</v>
      </c>
      <c r="V35" s="371">
        <f>SUMIF(R35:R68,R35,T35:T68)</f>
        <v>21089.89942655</v>
      </c>
      <c r="W35" s="371">
        <f t="shared" si="5"/>
        <v>0</v>
      </c>
      <c r="X35" s="316" t="str">
        <f t="shared" si="6"/>
        <v>CHAID NEME HERMANOS S.A.</v>
      </c>
      <c r="Y35" s="316"/>
      <c r="Z35" s="373">
        <f>T35</f>
        <v>1559.45903918</v>
      </c>
      <c r="AA35" s="373">
        <v>0</v>
      </c>
      <c r="AB35" s="373">
        <v>0</v>
      </c>
      <c r="AC35" s="651">
        <f t="shared" si="10"/>
        <v>1559.45903918</v>
      </c>
      <c r="AD35" s="651">
        <f t="shared" si="11"/>
        <v>0</v>
      </c>
      <c r="AE35" s="651">
        <f t="shared" si="7"/>
        <v>0</v>
      </c>
      <c r="AF35" s="651"/>
      <c r="AG35" s="398">
        <f t="shared" si="12"/>
        <v>0</v>
      </c>
      <c r="AH35" s="652">
        <f t="shared" si="13"/>
        <v>1501.7718804995552</v>
      </c>
      <c r="AI35" s="652">
        <f t="shared" si="14"/>
        <v>0</v>
      </c>
      <c r="AJ35" s="652">
        <f t="shared" si="15"/>
        <v>0</v>
      </c>
      <c r="AK35" s="651">
        <f t="shared" si="16"/>
        <v>1501.7718804995552</v>
      </c>
      <c r="AL35" s="371">
        <f t="shared" si="17"/>
        <v>57.687158680444782</v>
      </c>
      <c r="AM35" s="652">
        <f t="shared" si="18"/>
        <v>57.687158680444782</v>
      </c>
      <c r="AN35" s="652">
        <f t="shared" si="19"/>
        <v>0</v>
      </c>
      <c r="AO35" s="372"/>
      <c r="AP35" s="372">
        <f>R35</f>
        <v>6</v>
      </c>
      <c r="AQ35" s="371">
        <f>SUMIF($R$9:$R$42,R35,$T$9:$T$42)</f>
        <v>21089.89942655</v>
      </c>
      <c r="AR35" s="371">
        <f>SUMIF($R$9:$R$42,R35,$W$9:$W$42)</f>
        <v>36034.300000000003</v>
      </c>
      <c r="AS35" s="373">
        <f>SUMIF($R$9:$R$42,R35,$AH$9:$AH$42)</f>
        <v>5562.2636057221716</v>
      </c>
      <c r="AT35" s="373">
        <f>SUMIF($R$9:$R$42,R35,$AI$9:$AI$42)</f>
        <v>6942.1096135623484</v>
      </c>
      <c r="AU35" s="373">
        <f>SUMIF($R$9:$R$42,R35,$AJ$9:$AJ$42)</f>
        <v>0</v>
      </c>
      <c r="AV35" s="371">
        <f>SUM(AS35:AU35)</f>
        <v>12504.37321928452</v>
      </c>
      <c r="AW35" s="373">
        <f>SUMIF($R$9:$R$42,R35,$AL$9:$AL$42)</f>
        <v>8585.5262072654805</v>
      </c>
      <c r="AX35" s="373">
        <f>SUMIF($R$9:$R$42,R35,$AM$9:$AM$42)</f>
        <v>1905.1278876901954</v>
      </c>
      <c r="AY35" s="373">
        <f>SUMIF($R$9:$R$42,R35,$AN$9:$AN$42)</f>
        <v>6680.3983195752862</v>
      </c>
    </row>
    <row r="36" spans="1:51">
      <c r="A36" s="24" t="s">
        <v>286</v>
      </c>
      <c r="B36" s="4" t="s">
        <v>324</v>
      </c>
      <c r="C36" s="4">
        <v>22</v>
      </c>
      <c r="D36" s="4">
        <v>22</v>
      </c>
      <c r="E36" s="4" t="s">
        <v>466</v>
      </c>
      <c r="F36" s="4" t="s">
        <v>467</v>
      </c>
      <c r="G36" s="4" t="s">
        <v>327</v>
      </c>
      <c r="H36" s="4" t="s">
        <v>468</v>
      </c>
      <c r="I36" s="5">
        <v>30513</v>
      </c>
      <c r="J36" s="4" t="s">
        <v>8</v>
      </c>
      <c r="K36" s="4" t="s">
        <v>469</v>
      </c>
      <c r="L36" s="4" t="s">
        <v>470</v>
      </c>
      <c r="M36" s="20">
        <v>10958.325500000001</v>
      </c>
      <c r="O36" s="5">
        <f t="shared" si="3"/>
        <v>0</v>
      </c>
      <c r="P36" s="5">
        <f t="shared" si="4"/>
        <v>10958.325500000001</v>
      </c>
      <c r="R36" s="372">
        <v>6</v>
      </c>
      <c r="S36" s="562">
        <f t="shared" si="8"/>
        <v>22</v>
      </c>
      <c r="T36" s="371">
        <f t="shared" si="9"/>
        <v>10958.325500000001</v>
      </c>
      <c r="U36" s="649">
        <f t="shared" ref="U36:U37" si="24">T36/$V$35</f>
        <v>0.51960065234851727</v>
      </c>
      <c r="V36" s="371"/>
      <c r="W36" s="655">
        <f t="shared" si="5"/>
        <v>30513</v>
      </c>
      <c r="X36" s="316" t="str">
        <f t="shared" si="6"/>
        <v>BANCOLOMBIA</v>
      </c>
      <c r="Y36" s="316"/>
      <c r="Z36" s="373">
        <v>3258.7451999999998</v>
      </c>
      <c r="AA36" s="373">
        <v>4022.2685000000001</v>
      </c>
      <c r="AB36" s="373">
        <v>0</v>
      </c>
      <c r="AC36" s="651">
        <f t="shared" si="10"/>
        <v>7281.0136999999995</v>
      </c>
      <c r="AD36" s="651">
        <f t="shared" si="11"/>
        <v>3677.3118000000013</v>
      </c>
      <c r="AE36" s="651">
        <f t="shared" si="7"/>
        <v>826.44320000000153</v>
      </c>
      <c r="AF36" s="651">
        <v>2850.8685999999998</v>
      </c>
      <c r="AG36" s="398">
        <f t="shared" si="12"/>
        <v>0.77525887252748016</v>
      </c>
      <c r="AH36" s="652">
        <f t="shared" si="13"/>
        <v>3138.1984291464441</v>
      </c>
      <c r="AI36" s="652">
        <f t="shared" si="14"/>
        <v>3873.4776466430158</v>
      </c>
      <c r="AJ36" s="652">
        <f t="shared" si="15"/>
        <v>0</v>
      </c>
      <c r="AK36" s="651">
        <f t="shared" si="16"/>
        <v>7011.6760757894599</v>
      </c>
      <c r="AL36" s="371">
        <f t="shared" si="17"/>
        <v>3946.6494242105409</v>
      </c>
      <c r="AM36" s="652">
        <f t="shared" si="18"/>
        <v>886.97444133584804</v>
      </c>
      <c r="AN36" s="652">
        <f t="shared" si="19"/>
        <v>3059.6749828746929</v>
      </c>
      <c r="AO36" s="372"/>
      <c r="AP36" s="372" t="s">
        <v>67</v>
      </c>
      <c r="AQ36" s="372" t="s">
        <v>67</v>
      </c>
      <c r="AR36" s="372" t="s">
        <v>67</v>
      </c>
      <c r="AS36" s="372" t="s">
        <v>67</v>
      </c>
      <c r="AT36" s="372" t="s">
        <v>67</v>
      </c>
      <c r="AU36" s="372" t="s">
        <v>67</v>
      </c>
      <c r="AV36" s="372" t="s">
        <v>67</v>
      </c>
      <c r="AW36" s="372" t="s">
        <v>67</v>
      </c>
      <c r="AX36" s="372" t="s">
        <v>67</v>
      </c>
      <c r="AY36" s="372" t="s">
        <v>67</v>
      </c>
    </row>
    <row r="37" spans="1:51">
      <c r="A37" s="14" t="s">
        <v>287</v>
      </c>
      <c r="B37" s="4" t="s">
        <v>324</v>
      </c>
      <c r="C37" s="4">
        <v>27</v>
      </c>
      <c r="D37" s="4">
        <v>27</v>
      </c>
      <c r="E37" s="4" t="s">
        <v>477</v>
      </c>
      <c r="F37" s="4" t="s">
        <v>478</v>
      </c>
      <c r="G37" s="4" t="s">
        <v>327</v>
      </c>
      <c r="H37" s="4" t="s">
        <v>479</v>
      </c>
      <c r="I37" s="5">
        <v>5521.3</v>
      </c>
      <c r="J37" s="4" t="s">
        <v>347</v>
      </c>
      <c r="K37" s="4" t="s">
        <v>480</v>
      </c>
      <c r="L37" s="4" t="s">
        <v>470</v>
      </c>
      <c r="M37" s="20">
        <v>8572.1148873700004</v>
      </c>
      <c r="O37" s="5">
        <f t="shared" si="3"/>
        <v>0</v>
      </c>
      <c r="P37" s="5">
        <f t="shared" si="4"/>
        <v>8572.1148873700004</v>
      </c>
      <c r="R37" s="372">
        <v>6</v>
      </c>
      <c r="S37" s="562">
        <f t="shared" si="8"/>
        <v>27</v>
      </c>
      <c r="T37" s="371">
        <f t="shared" si="9"/>
        <v>8572.1148873700004</v>
      </c>
      <c r="U37" s="649">
        <f t="shared" si="24"/>
        <v>0.40645593959441051</v>
      </c>
      <c r="V37" s="371"/>
      <c r="W37" s="371">
        <f t="shared" si="5"/>
        <v>5521.3</v>
      </c>
      <c r="X37" s="316" t="str">
        <f t="shared" si="6"/>
        <v>BANCOLOMBIA</v>
      </c>
      <c r="Y37" s="316"/>
      <c r="Z37" s="373">
        <v>957.72109999999998</v>
      </c>
      <c r="AA37" s="373">
        <v>3186.5065</v>
      </c>
      <c r="AB37" s="373">
        <v>0</v>
      </c>
      <c r="AC37" s="651">
        <f t="shared" si="10"/>
        <v>4144.2276000000002</v>
      </c>
      <c r="AD37" s="651">
        <f t="shared" si="11"/>
        <v>4427.8872873700002</v>
      </c>
      <c r="AE37" s="651">
        <f t="shared" si="7"/>
        <v>928.3257873700004</v>
      </c>
      <c r="AF37" s="651">
        <v>3499.5614999999998</v>
      </c>
      <c r="AG37" s="398">
        <f t="shared" si="12"/>
        <v>0.7903456598775821</v>
      </c>
      <c r="AH37" s="652">
        <f t="shared" si="13"/>
        <v>922.29329607617206</v>
      </c>
      <c r="AI37" s="652">
        <f t="shared" si="14"/>
        <v>3068.6319669193326</v>
      </c>
      <c r="AJ37" s="652">
        <f t="shared" si="15"/>
        <v>0</v>
      </c>
      <c r="AK37" s="651">
        <f t="shared" si="16"/>
        <v>3990.9252629955045</v>
      </c>
      <c r="AL37" s="371">
        <f t="shared" si="17"/>
        <v>4581.1896243744959</v>
      </c>
      <c r="AM37" s="652">
        <f t="shared" si="18"/>
        <v>960.46628767390257</v>
      </c>
      <c r="AN37" s="652">
        <f t="shared" si="19"/>
        <v>3620.7233367005933</v>
      </c>
      <c r="AO37" s="372"/>
      <c r="AP37" s="372" t="s">
        <v>67</v>
      </c>
      <c r="AQ37" s="372" t="s">
        <v>67</v>
      </c>
      <c r="AR37" s="372" t="s">
        <v>67</v>
      </c>
      <c r="AS37" s="372" t="s">
        <v>67</v>
      </c>
      <c r="AT37" s="372" t="s">
        <v>67</v>
      </c>
      <c r="AU37" s="372" t="s">
        <v>67</v>
      </c>
      <c r="AV37" s="372" t="s">
        <v>67</v>
      </c>
      <c r="AW37" s="372" t="s">
        <v>67</v>
      </c>
      <c r="AX37" s="372" t="s">
        <v>67</v>
      </c>
      <c r="AY37" s="372" t="s">
        <v>67</v>
      </c>
    </row>
    <row r="38" spans="1:51">
      <c r="A38" s="24" t="s">
        <v>286</v>
      </c>
      <c r="B38" s="4" t="s">
        <v>324</v>
      </c>
      <c r="C38" s="4">
        <v>22</v>
      </c>
      <c r="D38" s="4">
        <v>22</v>
      </c>
      <c r="E38" s="4" t="s">
        <v>466</v>
      </c>
      <c r="F38" s="4" t="s">
        <v>467</v>
      </c>
      <c r="G38" s="4" t="s">
        <v>327</v>
      </c>
      <c r="H38" s="4" t="s">
        <v>468</v>
      </c>
      <c r="I38" s="5">
        <v>30513</v>
      </c>
      <c r="J38" s="4" t="s">
        <v>8</v>
      </c>
      <c r="K38" s="4" t="s">
        <v>469</v>
      </c>
      <c r="L38" s="4" t="s">
        <v>470</v>
      </c>
      <c r="M38" s="20">
        <v>23967.619699999999</v>
      </c>
      <c r="O38" s="5">
        <f t="shared" si="3"/>
        <v>0</v>
      </c>
      <c r="P38" s="5">
        <f t="shared" si="4"/>
        <v>23967.619699999999</v>
      </c>
      <c r="R38" s="529">
        <v>7</v>
      </c>
      <c r="S38" s="562">
        <f t="shared" si="8"/>
        <v>22</v>
      </c>
      <c r="T38" s="371">
        <f t="shared" si="9"/>
        <v>23967.619699999999</v>
      </c>
      <c r="U38" s="649">
        <f>T38/$V$38</f>
        <v>1</v>
      </c>
      <c r="V38" s="371">
        <f>SUMIF(R38:R71,R38,T38:T71)</f>
        <v>23967.619699999999</v>
      </c>
      <c r="W38" s="655">
        <f t="shared" si="5"/>
        <v>30513</v>
      </c>
      <c r="X38" s="316" t="str">
        <f t="shared" si="6"/>
        <v>BANCOLOMBIA</v>
      </c>
      <c r="Y38" s="316"/>
      <c r="Z38" s="373">
        <v>3376.1224999999999</v>
      </c>
      <c r="AA38" s="373">
        <v>11433.713400000001</v>
      </c>
      <c r="AB38" s="373">
        <v>2551.1345000000001</v>
      </c>
      <c r="AC38" s="651">
        <f t="shared" si="10"/>
        <v>17360.970399999998</v>
      </c>
      <c r="AD38" s="651">
        <f t="shared" si="11"/>
        <v>6606.6493000000009</v>
      </c>
      <c r="AE38" s="651">
        <f t="shared" si="7"/>
        <v>896.51390000000083</v>
      </c>
      <c r="AF38" s="651">
        <v>5710.1354000000001</v>
      </c>
      <c r="AG38" s="398">
        <f t="shared" si="12"/>
        <v>0.86430127296146919</v>
      </c>
      <c r="AH38" s="652">
        <f t="shared" si="13"/>
        <v>3251.2337344159237</v>
      </c>
      <c r="AI38" s="652">
        <f t="shared" si="14"/>
        <v>11010.760040763742</v>
      </c>
      <c r="AJ38" s="652">
        <f t="shared" si="15"/>
        <v>2456.7635053029921</v>
      </c>
      <c r="AK38" s="651">
        <f t="shared" si="16"/>
        <v>16718.75728048266</v>
      </c>
      <c r="AL38" s="371">
        <f t="shared" si="17"/>
        <v>7248.8624195173397</v>
      </c>
      <c r="AM38" s="652">
        <f t="shared" si="18"/>
        <v>983.66140280594755</v>
      </c>
      <c r="AN38" s="652">
        <f t="shared" si="19"/>
        <v>6265.2010167113922</v>
      </c>
      <c r="AO38" s="372"/>
      <c r="AP38" s="372">
        <f>R38</f>
        <v>7</v>
      </c>
      <c r="AQ38" s="371">
        <f>SUMIF($R$9:$R$42,R38,$T$9:$T$42)</f>
        <v>23967.619699999999</v>
      </c>
      <c r="AR38" s="371">
        <f>SUMIF($R$9:$R$42,R38,$W$9:$W$42)</f>
        <v>30513</v>
      </c>
      <c r="AS38" s="373">
        <f>SUMIF($R$9:$R$42,R38,$AH$9:$AH$42)</f>
        <v>3251.2337344159237</v>
      </c>
      <c r="AT38" s="373">
        <f>SUMIF($R$9:$R$42,R38,$AI$9:$AI$42)</f>
        <v>11010.760040763742</v>
      </c>
      <c r="AU38" s="373">
        <f>SUMIF($R$9:$R$42,R38,$AJ$9:$AJ$42)</f>
        <v>2456.7635053029921</v>
      </c>
      <c r="AV38" s="371">
        <f>SUM(AS38:AU38)</f>
        <v>16718.75728048266</v>
      </c>
      <c r="AW38" s="373">
        <f>SUMIF($R$9:$R$42,R38,$AL$9:$AL$42)</f>
        <v>7248.8624195173397</v>
      </c>
      <c r="AX38" s="373">
        <f>SUMIF($R$9:$R$42,R38,$AM$9:$AM$42)</f>
        <v>983.66140280594755</v>
      </c>
      <c r="AY38" s="373">
        <f>SUMIF($R$9:$R$42,R38,$AN$9:$AN$42)</f>
        <v>6265.2010167113922</v>
      </c>
    </row>
    <row r="39" spans="1:51">
      <c r="A39" s="14" t="s">
        <v>288</v>
      </c>
      <c r="B39" s="4" t="s">
        <v>324</v>
      </c>
      <c r="C39" s="4">
        <v>31</v>
      </c>
      <c r="D39" s="4">
        <v>31</v>
      </c>
      <c r="E39" s="4" t="s">
        <v>491</v>
      </c>
      <c r="F39" s="4" t="s">
        <v>492</v>
      </c>
      <c r="G39" s="4" t="s">
        <v>327</v>
      </c>
      <c r="H39" s="4" t="s">
        <v>493</v>
      </c>
      <c r="I39" s="5">
        <v>27734.6</v>
      </c>
      <c r="J39" s="4" t="s">
        <v>494</v>
      </c>
      <c r="K39" s="4" t="s">
        <v>495</v>
      </c>
      <c r="L39" s="4" t="s">
        <v>496</v>
      </c>
      <c r="M39" s="20">
        <v>14752.6990159</v>
      </c>
      <c r="O39" s="5">
        <f t="shared" si="3"/>
        <v>0</v>
      </c>
      <c r="P39" s="5">
        <f t="shared" si="4"/>
        <v>14752.6990159</v>
      </c>
      <c r="R39" s="372">
        <v>8</v>
      </c>
      <c r="S39" s="562">
        <f t="shared" si="8"/>
        <v>31</v>
      </c>
      <c r="T39" s="371">
        <f t="shared" si="9"/>
        <v>14752.6990159</v>
      </c>
      <c r="U39" s="649">
        <f>T39/$V$39</f>
        <v>1</v>
      </c>
      <c r="V39" s="371">
        <f>SUMIF(R39:R72,R39,T39:T72)</f>
        <v>14752.6990159</v>
      </c>
      <c r="W39" s="371">
        <f t="shared" si="5"/>
        <v>27734.6</v>
      </c>
      <c r="X39" s="316" t="str">
        <f t="shared" si="6"/>
        <v>BEEPER WEX S.A /  CORPORTAXIS S.A</v>
      </c>
      <c r="Y39" s="316"/>
      <c r="Z39" s="373">
        <v>2758.3836999999999</v>
      </c>
      <c r="AA39" s="373">
        <v>7596.9623000000001</v>
      </c>
      <c r="AB39" s="373">
        <v>0</v>
      </c>
      <c r="AC39" s="651">
        <f t="shared" si="10"/>
        <v>10355.346</v>
      </c>
      <c r="AD39" s="651">
        <f t="shared" si="11"/>
        <v>4397.3530159000002</v>
      </c>
      <c r="AE39" s="651">
        <f t="shared" si="7"/>
        <v>1246.6678159000003</v>
      </c>
      <c r="AF39" s="651">
        <v>3150.6851999999999</v>
      </c>
      <c r="AG39" s="398">
        <f t="shared" si="12"/>
        <v>0.71649585298421925</v>
      </c>
      <c r="AH39" s="652">
        <f t="shared" si="13"/>
        <v>2656.3461894238176</v>
      </c>
      <c r="AI39" s="652">
        <f t="shared" si="14"/>
        <v>7315.9371761083858</v>
      </c>
      <c r="AJ39" s="652">
        <f t="shared" si="15"/>
        <v>0</v>
      </c>
      <c r="AK39" s="651">
        <f t="shared" si="16"/>
        <v>9972.2833655322029</v>
      </c>
      <c r="AL39" s="371">
        <f t="shared" si="17"/>
        <v>4780.4156503677968</v>
      </c>
      <c r="AM39" s="652">
        <f t="shared" si="18"/>
        <v>1355.267661338411</v>
      </c>
      <c r="AN39" s="652">
        <f t="shared" si="19"/>
        <v>3425.1479890293858</v>
      </c>
      <c r="AO39" s="372"/>
      <c r="AP39" s="372">
        <f>R39</f>
        <v>8</v>
      </c>
      <c r="AQ39" s="371">
        <f>SUMIF($R$9:$R$42,R39,$T$9:$T$42)</f>
        <v>14752.6990159</v>
      </c>
      <c r="AR39" s="371">
        <f>SUMIF($R$9:$R$42,R39,$W$9:$W$42)</f>
        <v>27734.6</v>
      </c>
      <c r="AS39" s="373">
        <f>SUMIF($R$9:$R$42,R39,$AH$9:$AH$42)</f>
        <v>2656.3461894238176</v>
      </c>
      <c r="AT39" s="373">
        <f>SUMIF($R$9:$R$42,R39,$AI$9:$AI$42)</f>
        <v>7315.9371761083858</v>
      </c>
      <c r="AU39" s="373">
        <f>SUMIF($R$9:$R$42,R39,$AJ$9:$AJ$42)</f>
        <v>0</v>
      </c>
      <c r="AV39" s="371">
        <f>SUM(AS39:AU39)</f>
        <v>9972.2833655322029</v>
      </c>
      <c r="AW39" s="373">
        <f>SUMIF($R$9:$R$42,R39,$AL$9:$AL$42)</f>
        <v>4780.4156503677968</v>
      </c>
      <c r="AX39" s="373">
        <f>SUMIF($R$9:$R$42,R39,$AM$9:$AM$42)</f>
        <v>1355.267661338411</v>
      </c>
      <c r="AY39" s="373">
        <f>SUMIF($R$9:$R$42,R39,$AN$9:$AN$42)</f>
        <v>3425.1479890293858</v>
      </c>
    </row>
    <row r="40" spans="1:51">
      <c r="A40" s="14" t="s">
        <v>457</v>
      </c>
      <c r="B40" s="4" t="s">
        <v>324</v>
      </c>
      <c r="C40" s="4">
        <v>23</v>
      </c>
      <c r="D40" s="4">
        <v>2</v>
      </c>
      <c r="E40" s="4" t="s">
        <v>458</v>
      </c>
      <c r="F40" s="4" t="s">
        <v>459</v>
      </c>
      <c r="G40" s="4" t="s">
        <v>485</v>
      </c>
      <c r="H40" s="4" t="s">
        <v>460</v>
      </c>
      <c r="I40" s="5">
        <v>0</v>
      </c>
      <c r="J40" s="4" t="s">
        <v>461</v>
      </c>
      <c r="K40" s="4" t="s">
        <v>462</v>
      </c>
      <c r="L40" s="4" t="s">
        <v>559</v>
      </c>
      <c r="M40" s="20">
        <v>3264.0751468600001</v>
      </c>
      <c r="N40" s="5" t="s">
        <v>71</v>
      </c>
      <c r="O40" s="5">
        <f t="shared" si="3"/>
        <v>3264.0751468600001</v>
      </c>
      <c r="P40" s="5">
        <f t="shared" si="4"/>
        <v>0</v>
      </c>
      <c r="R40" s="372" t="s">
        <v>67</v>
      </c>
      <c r="S40" s="562">
        <f t="shared" si="8"/>
        <v>2</v>
      </c>
      <c r="T40" s="371">
        <f t="shared" si="9"/>
        <v>0</v>
      </c>
      <c r="U40" s="649"/>
      <c r="V40" s="371"/>
      <c r="W40" s="371">
        <f t="shared" si="5"/>
        <v>0</v>
      </c>
      <c r="X40" s="316" t="str">
        <f t="shared" si="6"/>
        <v xml:space="preserve">Alcaldía Distrital de Bogotá  </v>
      </c>
      <c r="Y40" s="316"/>
      <c r="Z40" s="373">
        <v>0</v>
      </c>
      <c r="AA40" s="373">
        <v>0</v>
      </c>
      <c r="AB40" s="373">
        <v>0</v>
      </c>
      <c r="AC40" s="373">
        <v>0</v>
      </c>
      <c r="AD40" s="651">
        <f t="shared" si="11"/>
        <v>0</v>
      </c>
      <c r="AE40" s="373">
        <v>0</v>
      </c>
      <c r="AF40" s="373">
        <v>0</v>
      </c>
      <c r="AG40" s="398">
        <f t="shared" si="12"/>
        <v>0</v>
      </c>
      <c r="AH40" s="652">
        <f t="shared" si="13"/>
        <v>0</v>
      </c>
      <c r="AI40" s="652">
        <f t="shared" si="14"/>
        <v>0</v>
      </c>
      <c r="AJ40" s="652">
        <f t="shared" si="15"/>
        <v>0</v>
      </c>
      <c r="AK40" s="651">
        <f t="shared" si="16"/>
        <v>0</v>
      </c>
      <c r="AL40" s="371">
        <f t="shared" si="17"/>
        <v>0</v>
      </c>
      <c r="AM40" s="652"/>
      <c r="AN40" s="652">
        <f t="shared" ref="AN40:AN42" si="25">AL40-AM40</f>
        <v>0</v>
      </c>
      <c r="AO40" s="373"/>
      <c r="AP40" s="373">
        <v>0</v>
      </c>
      <c r="AQ40" s="373">
        <v>0</v>
      </c>
      <c r="AR40" s="373">
        <v>0</v>
      </c>
      <c r="AS40" s="373">
        <v>0</v>
      </c>
      <c r="AT40" s="373">
        <v>0</v>
      </c>
      <c r="AU40" s="373">
        <v>0</v>
      </c>
      <c r="AV40" s="373">
        <v>0</v>
      </c>
      <c r="AW40" s="373">
        <v>0</v>
      </c>
      <c r="AX40" s="372" t="s">
        <v>67</v>
      </c>
      <c r="AY40" s="373">
        <v>0</v>
      </c>
    </row>
    <row r="41" spans="1:51">
      <c r="A41" s="14" t="s">
        <v>472</v>
      </c>
      <c r="B41" s="4" t="s">
        <v>324</v>
      </c>
      <c r="C41" s="4">
        <v>25</v>
      </c>
      <c r="D41" s="4">
        <v>25</v>
      </c>
      <c r="E41" s="4" t="s">
        <v>473</v>
      </c>
      <c r="F41" s="4" t="s">
        <v>474</v>
      </c>
      <c r="G41" s="4" t="s">
        <v>485</v>
      </c>
      <c r="H41" s="4" t="s">
        <v>475</v>
      </c>
      <c r="I41" s="5">
        <v>0</v>
      </c>
      <c r="J41" s="4" t="s">
        <v>461</v>
      </c>
      <c r="L41" s="4" t="s">
        <v>559</v>
      </c>
      <c r="M41" s="20">
        <v>729.40739993399995</v>
      </c>
      <c r="N41" s="5" t="s">
        <v>71</v>
      </c>
      <c r="O41" s="5">
        <f t="shared" si="3"/>
        <v>729.40739993399995</v>
      </c>
      <c r="P41" s="5">
        <f t="shared" si="4"/>
        <v>0</v>
      </c>
      <c r="R41" s="372" t="s">
        <v>67</v>
      </c>
      <c r="S41" s="562">
        <f t="shared" si="8"/>
        <v>25</v>
      </c>
      <c r="T41" s="371">
        <f t="shared" si="9"/>
        <v>0</v>
      </c>
      <c r="U41" s="649"/>
      <c r="V41" s="371"/>
      <c r="W41" s="371">
        <f t="shared" si="5"/>
        <v>0</v>
      </c>
      <c r="X41" s="316" t="str">
        <f t="shared" si="6"/>
        <v xml:space="preserve">Alcaldía Distrital de Bogotá  </v>
      </c>
      <c r="Y41" s="316"/>
      <c r="Z41" s="373">
        <v>0</v>
      </c>
      <c r="AA41" s="373">
        <v>0</v>
      </c>
      <c r="AB41" s="373">
        <v>0</v>
      </c>
      <c r="AC41" s="373">
        <v>0</v>
      </c>
      <c r="AD41" s="651">
        <f t="shared" si="11"/>
        <v>0</v>
      </c>
      <c r="AE41" s="373">
        <v>0</v>
      </c>
      <c r="AF41" s="373">
        <v>0</v>
      </c>
      <c r="AG41" s="398">
        <f t="shared" si="12"/>
        <v>0</v>
      </c>
      <c r="AH41" s="652">
        <f t="shared" si="13"/>
        <v>0</v>
      </c>
      <c r="AI41" s="652">
        <f t="shared" si="14"/>
        <v>0</v>
      </c>
      <c r="AJ41" s="652">
        <f t="shared" si="15"/>
        <v>0</v>
      </c>
      <c r="AK41" s="651">
        <f t="shared" si="16"/>
        <v>0</v>
      </c>
      <c r="AL41" s="371">
        <f t="shared" si="17"/>
        <v>0</v>
      </c>
      <c r="AM41" s="652"/>
      <c r="AN41" s="652">
        <f t="shared" si="25"/>
        <v>0</v>
      </c>
      <c r="AO41" s="373"/>
      <c r="AP41" s="373">
        <v>0</v>
      </c>
      <c r="AQ41" s="373">
        <v>0</v>
      </c>
      <c r="AR41" s="373">
        <v>0</v>
      </c>
      <c r="AS41" s="373">
        <v>0</v>
      </c>
      <c r="AT41" s="373">
        <v>0</v>
      </c>
      <c r="AU41" s="373">
        <v>0</v>
      </c>
      <c r="AV41" s="373">
        <v>0</v>
      </c>
      <c r="AW41" s="373">
        <v>0</v>
      </c>
      <c r="AX41" s="372" t="s">
        <v>67</v>
      </c>
      <c r="AY41" s="373">
        <v>0</v>
      </c>
    </row>
    <row r="42" spans="1:51">
      <c r="A42" s="14" t="s">
        <v>482</v>
      </c>
      <c r="B42" s="4" t="s">
        <v>324</v>
      </c>
      <c r="C42" s="4">
        <v>28</v>
      </c>
      <c r="D42" s="4">
        <v>1</v>
      </c>
      <c r="E42" s="4" t="s">
        <v>483</v>
      </c>
      <c r="F42" s="4" t="s">
        <v>484</v>
      </c>
      <c r="G42" s="4" t="s">
        <v>485</v>
      </c>
      <c r="H42" s="4" t="s">
        <v>486</v>
      </c>
      <c r="I42" s="5">
        <v>0</v>
      </c>
      <c r="J42" s="4" t="s">
        <v>461</v>
      </c>
      <c r="K42" s="4" t="s">
        <v>487</v>
      </c>
      <c r="L42" s="4" t="s">
        <v>559</v>
      </c>
      <c r="M42" s="20">
        <v>2174.0348137599999</v>
      </c>
      <c r="N42" s="5" t="s">
        <v>71</v>
      </c>
      <c r="O42" s="5">
        <f t="shared" si="3"/>
        <v>2174.0348137599999</v>
      </c>
      <c r="P42" s="5">
        <f t="shared" si="4"/>
        <v>0</v>
      </c>
      <c r="R42" s="372" t="s">
        <v>67</v>
      </c>
      <c r="S42" s="562">
        <f t="shared" si="8"/>
        <v>1</v>
      </c>
      <c r="T42" s="371">
        <f t="shared" si="9"/>
        <v>0</v>
      </c>
      <c r="U42" s="649"/>
      <c r="V42" s="371"/>
      <c r="W42" s="371">
        <f t="shared" si="5"/>
        <v>0</v>
      </c>
      <c r="X42" s="316" t="str">
        <f t="shared" si="6"/>
        <v xml:space="preserve">Alcaldía Distrital de Bogotá  </v>
      </c>
      <c r="Y42" s="316"/>
      <c r="Z42" s="373">
        <v>0</v>
      </c>
      <c r="AA42" s="373">
        <v>0</v>
      </c>
      <c r="AB42" s="373">
        <v>0</v>
      </c>
      <c r="AC42" s="373">
        <v>0</v>
      </c>
      <c r="AD42" s="651">
        <f t="shared" si="11"/>
        <v>0</v>
      </c>
      <c r="AE42" s="373">
        <v>0</v>
      </c>
      <c r="AF42" s="373">
        <v>0</v>
      </c>
      <c r="AG42" s="398">
        <f t="shared" si="12"/>
        <v>0</v>
      </c>
      <c r="AH42" s="652">
        <f t="shared" si="13"/>
        <v>0</v>
      </c>
      <c r="AI42" s="652">
        <f t="shared" si="14"/>
        <v>0</v>
      </c>
      <c r="AJ42" s="652">
        <f t="shared" si="15"/>
        <v>0</v>
      </c>
      <c r="AK42" s="651">
        <f t="shared" si="16"/>
        <v>0</v>
      </c>
      <c r="AL42" s="371">
        <f t="shared" si="17"/>
        <v>0</v>
      </c>
      <c r="AM42" s="652"/>
      <c r="AN42" s="652">
        <f t="shared" si="25"/>
        <v>0</v>
      </c>
      <c r="AO42" s="373"/>
      <c r="AP42" s="373">
        <v>0</v>
      </c>
      <c r="AQ42" s="373">
        <v>0</v>
      </c>
      <c r="AR42" s="373">
        <v>0</v>
      </c>
      <c r="AS42" s="373">
        <v>0</v>
      </c>
      <c r="AT42" s="373">
        <v>0</v>
      </c>
      <c r="AU42" s="373">
        <v>0</v>
      </c>
      <c r="AV42" s="373">
        <v>0</v>
      </c>
      <c r="AW42" s="373">
        <v>0</v>
      </c>
      <c r="AX42" s="372" t="s">
        <v>67</v>
      </c>
      <c r="AY42" s="373">
        <v>0</v>
      </c>
    </row>
    <row r="44" spans="1:51">
      <c r="R44" s="16"/>
      <c r="S44" s="16"/>
      <c r="T44" s="16"/>
      <c r="V44" s="16"/>
      <c r="W44" s="16"/>
      <c r="X44" s="37"/>
      <c r="Y44" s="37"/>
    </row>
    <row r="54" spans="20:22">
      <c r="T54" s="5"/>
      <c r="V54" s="5"/>
    </row>
  </sheetData>
  <mergeCells count="15">
    <mergeCell ref="A1:I3"/>
    <mergeCell ref="J1:L3"/>
    <mergeCell ref="M1:M3"/>
    <mergeCell ref="R1:AY1"/>
    <mergeCell ref="R2:X3"/>
    <mergeCell ref="AS3:AV3"/>
    <mergeCell ref="AW3:AY3"/>
    <mergeCell ref="AP3:AR3"/>
    <mergeCell ref="Z3:AC3"/>
    <mergeCell ref="P1:P4"/>
    <mergeCell ref="N1:O4"/>
    <mergeCell ref="Z2:AF2"/>
    <mergeCell ref="AH2:AN2"/>
    <mergeCell ref="AH3:AK3"/>
    <mergeCell ref="AP2:AY2"/>
  </mergeCells>
  <pageMargins left="0.7" right="0.7" top="0.75" bottom="0.75" header="0.3" footer="0.3"/>
  <ignoredErrors>
    <ignoredError sqref="AC9:AC39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98782-86CD-4DEE-A1BA-3916F094764A}">
  <dimension ref="A1:J18"/>
  <sheetViews>
    <sheetView workbookViewId="0">
      <selection activeCell="F3" sqref="F3"/>
    </sheetView>
  </sheetViews>
  <sheetFormatPr defaultColWidth="11.375" defaultRowHeight="13.9"/>
  <cols>
    <col min="1" max="1" width="4.75" style="42" bestFit="1" customWidth="1"/>
    <col min="2" max="3" width="11.375" style="42"/>
    <col min="4" max="4" width="17.375" style="42" customWidth="1"/>
    <col min="5" max="5" width="31.125" style="42" customWidth="1"/>
    <col min="6" max="6" width="16.25" style="42" customWidth="1"/>
    <col min="7" max="7" width="13.75" style="42" bestFit="1" customWidth="1"/>
    <col min="8" max="8" width="15.25" style="42" bestFit="1" customWidth="1"/>
    <col min="9" max="16384" width="11.375" style="42"/>
  </cols>
  <sheetData>
    <row r="1" spans="1:10">
      <c r="A1" s="1527" t="s">
        <v>0</v>
      </c>
      <c r="B1" s="1527" t="s">
        <v>54</v>
      </c>
      <c r="C1" s="1527" t="s">
        <v>560</v>
      </c>
      <c r="D1" s="368" t="s">
        <v>561</v>
      </c>
      <c r="E1" s="1527" t="s">
        <v>562</v>
      </c>
      <c r="F1" s="1527"/>
      <c r="G1" s="1527"/>
      <c r="H1" s="1527"/>
      <c r="I1" s="1536" t="s">
        <v>563</v>
      </c>
    </row>
    <row r="2" spans="1:10">
      <c r="A2" s="1527"/>
      <c r="B2" s="1527"/>
      <c r="C2" s="1527"/>
      <c r="D2" s="657">
        <v>0.65</v>
      </c>
      <c r="E2" s="367" t="s">
        <v>564</v>
      </c>
      <c r="F2" s="367" t="s">
        <v>565</v>
      </c>
      <c r="G2" s="367" t="s">
        <v>566</v>
      </c>
      <c r="H2" s="367" t="s">
        <v>259</v>
      </c>
      <c r="I2" s="1536"/>
      <c r="J2" s="7"/>
    </row>
    <row r="3" spans="1:10">
      <c r="A3" s="375"/>
      <c r="B3" s="375"/>
      <c r="C3" s="370">
        <f>'04a_PROPUESTA_MO'!V7</f>
        <v>164776.711307171</v>
      </c>
      <c r="D3" s="370">
        <f>C3*D2</f>
        <v>107104.86234966115</v>
      </c>
      <c r="E3" s="409">
        <v>30634.550473915995</v>
      </c>
      <c r="F3" s="409">
        <v>75119.274400000009</v>
      </c>
      <c r="G3" s="409">
        <v>5465.2276999999995</v>
      </c>
      <c r="H3" s="409">
        <f>SUM(E3:G3)</f>
        <v>111219.05257391601</v>
      </c>
      <c r="I3" s="370">
        <f>H3-D3</f>
        <v>4114.1902242548531</v>
      </c>
    </row>
    <row r="4" spans="1:10">
      <c r="A4" s="375"/>
      <c r="B4" s="375"/>
      <c r="C4" s="375"/>
      <c r="D4" s="375"/>
      <c r="E4" s="658">
        <f>E3/$H$3</f>
        <v>0.27544336842427536</v>
      </c>
      <c r="F4" s="658">
        <f t="shared" ref="F4:G4" si="0">F3/$H$3</f>
        <v>0.67541731979847475</v>
      </c>
      <c r="G4" s="658">
        <f t="shared" si="0"/>
        <v>4.9139311777249832E-2</v>
      </c>
      <c r="H4" s="375">
        <f>SUM(E4:G4)</f>
        <v>1</v>
      </c>
      <c r="I4" s="375"/>
    </row>
    <row r="5" spans="1:10">
      <c r="A5" s="375"/>
      <c r="B5" s="375"/>
      <c r="C5" s="375"/>
      <c r="D5" s="375"/>
      <c r="E5" s="370">
        <f>$I$3*E4</f>
        <v>1133.2264137069815</v>
      </c>
      <c r="F5" s="370">
        <f>$I$3*F4</f>
        <v>2778.7953344072985</v>
      </c>
      <c r="G5" s="370">
        <f>$I$3*G4</f>
        <v>202.16847614057264</v>
      </c>
      <c r="H5" s="370">
        <f>SUM(E5:G5)</f>
        <v>4114.1902242548522</v>
      </c>
      <c r="I5" s="375"/>
    </row>
    <row r="6" spans="1:10">
      <c r="A6" s="375"/>
      <c r="B6" s="375"/>
      <c r="C6" s="375"/>
      <c r="D6" s="375"/>
      <c r="E6" s="375">
        <f>E5/E3</f>
        <v>3.6991775501059664E-2</v>
      </c>
      <c r="F6" s="375">
        <f t="shared" ref="F6:G6" si="1">F5/F3</f>
        <v>3.6991775501059664E-2</v>
      </c>
      <c r="G6" s="375">
        <f t="shared" si="1"/>
        <v>3.6991775501059664E-2</v>
      </c>
      <c r="H6" s="375"/>
      <c r="I6" s="375"/>
    </row>
    <row r="7" spans="1:10">
      <c r="A7" s="375"/>
      <c r="B7" s="375"/>
      <c r="C7" s="375"/>
      <c r="D7" s="375"/>
      <c r="E7" s="659">
        <f>1-E6</f>
        <v>0.9630082244989403</v>
      </c>
      <c r="F7" s="659">
        <f t="shared" ref="F7:G7" si="2">1-F6</f>
        <v>0.9630082244989403</v>
      </c>
      <c r="G7" s="659">
        <f t="shared" si="2"/>
        <v>0.9630082244989403</v>
      </c>
      <c r="H7" s="659"/>
      <c r="I7" s="659"/>
      <c r="J7" s="656"/>
    </row>
    <row r="8" spans="1:10">
      <c r="A8" s="375"/>
      <c r="B8" s="375"/>
      <c r="C8" s="375"/>
      <c r="D8" s="375" t="s">
        <v>567</v>
      </c>
      <c r="E8" s="400">
        <f>E3-E5</f>
        <v>29501.324060209015</v>
      </c>
      <c r="F8" s="370">
        <f>F3-F5</f>
        <v>72340.479065592706</v>
      </c>
      <c r="G8" s="370">
        <f>G3-G5</f>
        <v>5263.0592238594272</v>
      </c>
      <c r="H8" s="409">
        <f>SUM(E8:G8)</f>
        <v>107104.86234966115</v>
      </c>
      <c r="I8" s="660">
        <f>H8/C3</f>
        <v>0.65</v>
      </c>
    </row>
    <row r="9" spans="1:10">
      <c r="A9" s="375"/>
      <c r="B9" s="375"/>
      <c r="C9" s="375"/>
      <c r="D9" s="375"/>
      <c r="E9" s="661">
        <f>E8-'04a_PROPUESTA_MO'!AS7</f>
        <v>0</v>
      </c>
      <c r="F9" s="661">
        <f>F8-'04a_PROPUESTA_MO'!AT7</f>
        <v>0</v>
      </c>
      <c r="G9" s="661">
        <f>G8-'04a_PROPUESTA_MO'!AU7</f>
        <v>0</v>
      </c>
      <c r="H9" s="661">
        <f>H8-'04a_PROPUESTA_MO'!AV7</f>
        <v>0</v>
      </c>
      <c r="I9" s="375"/>
    </row>
    <row r="10" spans="1:10">
      <c r="A10" s="375"/>
      <c r="B10" s="375"/>
      <c r="C10" s="375"/>
      <c r="D10" s="375"/>
      <c r="E10" s="372" t="str">
        <f>IF(E9=0,"Ok","error")</f>
        <v>Ok</v>
      </c>
      <c r="F10" s="372" t="str">
        <f>IF(F9=0,"Ok","error")</f>
        <v>Ok</v>
      </c>
      <c r="G10" s="372" t="str">
        <f>IF(G9=0,"Ok","error")</f>
        <v>Ok</v>
      </c>
      <c r="H10" s="372" t="str">
        <f>IF(H9=0,"Ok","error")</f>
        <v>Ok</v>
      </c>
      <c r="I10" s="375"/>
    </row>
    <row r="11" spans="1:10">
      <c r="A11" s="375"/>
      <c r="B11" s="375"/>
      <c r="C11" s="375"/>
      <c r="D11" s="375"/>
      <c r="E11" s="375"/>
      <c r="F11" s="375"/>
      <c r="G11" s="375"/>
      <c r="H11" s="375"/>
      <c r="I11" s="375"/>
    </row>
    <row r="12" spans="1:10">
      <c r="A12" s="375"/>
      <c r="B12" s="375"/>
      <c r="C12" s="375"/>
      <c r="D12" s="375"/>
      <c r="E12" s="1534" t="s">
        <v>568</v>
      </c>
      <c r="F12" s="1534"/>
      <c r="G12" s="1534"/>
      <c r="H12" s="370">
        <f>'04a_PROPUESTA_MO'!AD7</f>
        <v>53557.658733255004</v>
      </c>
      <c r="I12" s="662">
        <f>SUM(I13:I14)</f>
        <v>1</v>
      </c>
    </row>
    <row r="13" spans="1:10">
      <c r="A13" s="375"/>
      <c r="B13" s="375"/>
      <c r="C13" s="375"/>
      <c r="D13" s="375"/>
      <c r="E13" s="1535" t="s">
        <v>569</v>
      </c>
      <c r="F13" s="1535"/>
      <c r="G13" s="1535"/>
      <c r="H13" s="370">
        <f>'04a_PROPUESTA_MO'!AF7</f>
        <v>41377.778900000005</v>
      </c>
      <c r="I13" s="658">
        <f>H13/H12</f>
        <v>0.77258378873660005</v>
      </c>
    </row>
    <row r="14" spans="1:10">
      <c r="A14" s="375"/>
      <c r="B14" s="375"/>
      <c r="C14" s="375"/>
      <c r="D14" s="375"/>
      <c r="E14" s="1534" t="s">
        <v>570</v>
      </c>
      <c r="F14" s="1534"/>
      <c r="G14" s="1534"/>
      <c r="H14" s="663">
        <f>'04a_PROPUESTA_MO'!AE7</f>
        <v>12179.879833255003</v>
      </c>
      <c r="I14" s="658">
        <f>H14/H12</f>
        <v>0.22741621126340006</v>
      </c>
    </row>
    <row r="15" spans="1:10">
      <c r="A15" s="375"/>
      <c r="B15" s="375"/>
      <c r="C15" s="375"/>
      <c r="D15" s="375"/>
      <c r="E15" s="375"/>
      <c r="F15" s="375"/>
      <c r="G15" s="375"/>
      <c r="H15" s="370"/>
      <c r="I15" s="375"/>
    </row>
    <row r="16" spans="1:10">
      <c r="A16" s="375"/>
      <c r="B16" s="375"/>
      <c r="C16" s="375"/>
      <c r="D16" s="375"/>
      <c r="E16" s="1534" t="s">
        <v>571</v>
      </c>
      <c r="F16" s="1534"/>
      <c r="G16" s="1534"/>
      <c r="H16" s="370">
        <f>'04c_Resumen_MO'!G5</f>
        <v>57671.848957509857</v>
      </c>
      <c r="I16" s="662">
        <f>SUM(I17:I18)</f>
        <v>1</v>
      </c>
    </row>
    <row r="17" spans="1:9">
      <c r="A17" s="375"/>
      <c r="B17" s="375"/>
      <c r="C17" s="375"/>
      <c r="D17" s="375"/>
      <c r="E17" s="1535" t="s">
        <v>572</v>
      </c>
      <c r="F17" s="1535"/>
      <c r="G17" s="1535"/>
      <c r="H17" s="370">
        <f>H16*I17</f>
        <v>44556.335571037904</v>
      </c>
      <c r="I17" s="662">
        <f>I13</f>
        <v>0.77258378873660005</v>
      </c>
    </row>
    <row r="18" spans="1:9">
      <c r="A18" s="375"/>
      <c r="B18" s="375"/>
      <c r="C18" s="375"/>
      <c r="D18" s="375"/>
      <c r="E18" s="1534" t="s">
        <v>573</v>
      </c>
      <c r="F18" s="1534"/>
      <c r="G18" s="1534"/>
      <c r="H18" s="370">
        <f>H16*I18</f>
        <v>13115.513386471961</v>
      </c>
      <c r="I18" s="662">
        <f>I14</f>
        <v>0.22741621126340006</v>
      </c>
    </row>
  </sheetData>
  <mergeCells count="11">
    <mergeCell ref="I1:I2"/>
    <mergeCell ref="A1:A2"/>
    <mergeCell ref="B1:B2"/>
    <mergeCell ref="C1:C2"/>
    <mergeCell ref="E17:G17"/>
    <mergeCell ref="E18:G18"/>
    <mergeCell ref="E1:H1"/>
    <mergeCell ref="E12:G12"/>
    <mergeCell ref="E13:G13"/>
    <mergeCell ref="E14:G14"/>
    <mergeCell ref="E16:G16"/>
  </mergeCells>
  <conditionalFormatting sqref="E10:H10">
    <cfRule type="cellIs" dxfId="10" priority="1" operator="equal">
      <formula>"error"</formula>
    </cfRule>
    <cfRule type="cellIs" dxfId="9" priority="2" operator="equal">
      <formula>"ok"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BAA6F-DCF2-4B4D-8624-7BC86ED35B17}">
  <sheetPr>
    <tabColor theme="9" tint="0.79998168889431442"/>
  </sheetPr>
  <dimension ref="A1:K13"/>
  <sheetViews>
    <sheetView zoomScale="145" zoomScaleNormal="145" workbookViewId="0">
      <selection activeCell="I5" sqref="I5"/>
    </sheetView>
  </sheetViews>
  <sheetFormatPr defaultColWidth="11.375" defaultRowHeight="13.9"/>
  <cols>
    <col min="1" max="1" width="7.625" style="110" customWidth="1"/>
    <col min="2" max="2" width="14.125" style="45" bestFit="1" customWidth="1"/>
    <col min="3" max="3" width="12.125" style="45" bestFit="1" customWidth="1"/>
    <col min="4" max="4" width="17.25" style="45" bestFit="1" customWidth="1"/>
    <col min="5" max="5" width="19.125" style="45" bestFit="1" customWidth="1"/>
    <col min="6" max="6" width="13.25" style="45" bestFit="1" customWidth="1"/>
    <col min="7" max="8" width="12.125" style="45" bestFit="1" customWidth="1"/>
    <col min="9" max="9" width="16.125" style="45" bestFit="1" customWidth="1"/>
    <col min="10" max="10" width="6.875" style="45" customWidth="1"/>
    <col min="11" max="11" width="17" style="45" bestFit="1" customWidth="1"/>
    <col min="12" max="16384" width="11.375" style="45"/>
  </cols>
  <sheetData>
    <row r="1" spans="1:11">
      <c r="A1" s="1537" t="s">
        <v>574</v>
      </c>
      <c r="B1" s="1538"/>
      <c r="C1" s="1538"/>
      <c r="D1" s="1538"/>
      <c r="E1" s="1538"/>
      <c r="F1" s="1538"/>
      <c r="G1" s="1538"/>
      <c r="H1" s="1538"/>
      <c r="I1" s="1538"/>
    </row>
    <row r="2" spans="1:11">
      <c r="A2" s="1540" t="s">
        <v>247</v>
      </c>
      <c r="B2" s="1539" t="s">
        <v>575</v>
      </c>
      <c r="C2" s="1539" t="s">
        <v>576</v>
      </c>
      <c r="D2" s="1539"/>
      <c r="E2" s="1539"/>
      <c r="F2" s="1539"/>
      <c r="G2" s="1539" t="s">
        <v>577</v>
      </c>
      <c r="H2" s="1539" t="s">
        <v>550</v>
      </c>
      <c r="I2" s="1539" t="s">
        <v>578</v>
      </c>
    </row>
    <row r="3" spans="1:11">
      <c r="A3" s="1540"/>
      <c r="B3" s="1539"/>
      <c r="C3" s="118" t="s">
        <v>579</v>
      </c>
      <c r="D3" s="118" t="s">
        <v>580</v>
      </c>
      <c r="E3" s="118" t="s">
        <v>581</v>
      </c>
      <c r="F3" s="118" t="s">
        <v>259</v>
      </c>
      <c r="G3" s="1539"/>
      <c r="H3" s="1539"/>
      <c r="I3" s="1539"/>
      <c r="K3" s="111" t="s">
        <v>582</v>
      </c>
    </row>
    <row r="4" spans="1:11" s="112" customFormat="1" ht="12">
      <c r="A4" s="113"/>
      <c r="B4" s="114" t="s">
        <v>164</v>
      </c>
      <c r="C4" s="114" t="s">
        <v>164</v>
      </c>
      <c r="D4" s="114" t="s">
        <v>164</v>
      </c>
      <c r="E4" s="114" t="s">
        <v>164</v>
      </c>
      <c r="F4" s="114" t="s">
        <v>164</v>
      </c>
      <c r="G4" s="114" t="s">
        <v>164</v>
      </c>
      <c r="H4" s="114" t="s">
        <v>164</v>
      </c>
      <c r="I4" s="114" t="s">
        <v>164</v>
      </c>
    </row>
    <row r="5" spans="1:11" s="111" customFormat="1">
      <c r="A5" s="115"/>
      <c r="B5" s="116">
        <f>SUM(B6:B13)</f>
        <v>164776.711307171</v>
      </c>
      <c r="C5" s="116">
        <f t="shared" ref="C5:I5" si="0">SUM(C6:C13)</f>
        <v>29501.324060209015</v>
      </c>
      <c r="D5" s="116">
        <f t="shared" si="0"/>
        <v>72340.479065592706</v>
      </c>
      <c r="E5" s="116">
        <f t="shared" si="0"/>
        <v>5263.0592238594272</v>
      </c>
      <c r="F5" s="116">
        <f t="shared" si="0"/>
        <v>107104.86234966114</v>
      </c>
      <c r="G5" s="116">
        <f t="shared" si="0"/>
        <v>57671.848957509857</v>
      </c>
      <c r="H5" s="116">
        <f t="shared" si="0"/>
        <v>13723.80470659296</v>
      </c>
      <c r="I5" s="116">
        <f t="shared" si="0"/>
        <v>43948.044250916901</v>
      </c>
      <c r="K5" s="111">
        <f>SUM(K6:K13)</f>
        <v>135275.38724696197</v>
      </c>
    </row>
    <row r="6" spans="1:11">
      <c r="A6" s="115">
        <v>1</v>
      </c>
      <c r="B6" s="117">
        <f>SUMIF('04a_PROPUESTA_MO'!$R$9:$R$42,'04c_Resumen_MO'!A6,'04a_PROPUESTA_MO'!$T$9:$T$42)</f>
        <v>17268.248534736002</v>
      </c>
      <c r="C6" s="117">
        <f>SUMIF('04a_PROPUESTA_MO'!$R$9:$R$42,'04c_Resumen_MO'!A6,'04a_PROPUESTA_MO'!$AH$9:$AH$42)</f>
        <v>4744.8667466265179</v>
      </c>
      <c r="D6" s="117">
        <f>SUMIF('04a_PROPUESTA_MO'!$R$9:$R$42,'04c_Resumen_MO'!A6,'04a_PROPUESTA_MO'!$AI$9:$AI$42)</f>
        <v>8246.4926012466458</v>
      </c>
      <c r="E6" s="117">
        <f>SUMIF('04a_PROPUESTA_MO'!$R$9:$R$42,'04c_Resumen_MO'!A6,'04a_PROPUESTA_MO'!$AJ$9:$AJ$42)</f>
        <v>0</v>
      </c>
      <c r="F6" s="117">
        <f>SUM(C6:E6)</f>
        <v>12991.359347873164</v>
      </c>
      <c r="G6" s="117">
        <f>B6-F6</f>
        <v>4276.889186862838</v>
      </c>
      <c r="H6" s="117">
        <f>G6-I6</f>
        <v>1355.7527193899618</v>
      </c>
      <c r="I6" s="117">
        <f>SUMIF('04a_PROPUESTA_MO'!$R$9:$R$42,'04c_Resumen_MO'!A6,'04a_PROPUESTA_MO'!$AN$9:$AN$42)</f>
        <v>2921.1364674728761</v>
      </c>
      <c r="K6" s="45">
        <f>B6-C6</f>
        <v>12523.381788109484</v>
      </c>
    </row>
    <row r="7" spans="1:11">
      <c r="A7" s="115">
        <v>2</v>
      </c>
      <c r="B7" s="117">
        <f>SUMIF('04a_PROPUESTA_MO'!$R$9:$R$42,'04c_Resumen_MO'!A7,'04a_PROPUESTA_MO'!$T$9:$T$42)</f>
        <v>15602.531511536001</v>
      </c>
      <c r="C7" s="117">
        <f>SUMIF('04a_PROPUESTA_MO'!$R$9:$R$42,'04c_Resumen_MO'!A7,'04a_PROPUESTA_MO'!$AH$9:$AH$42)</f>
        <v>1166.9775073831811</v>
      </c>
      <c r="D7" s="117">
        <f>SUMIF('04a_PROPUESTA_MO'!$R$9:$R$42,'04c_Resumen_MO'!A7,'04a_PROPUESTA_MO'!$AI$9:$AI$42)</f>
        <v>7535.2101041922524</v>
      </c>
      <c r="E7" s="117">
        <f>SUMIF('04a_PROPUESTA_MO'!$R$9:$R$42,'04c_Resumen_MO'!A7,'04a_PROPUESTA_MO'!$AJ$9:$AJ$42)</f>
        <v>0</v>
      </c>
      <c r="F7" s="117">
        <f t="shared" ref="F7:F13" si="1">SUM(C7:E7)</f>
        <v>8702.187611575433</v>
      </c>
      <c r="G7" s="117">
        <f t="shared" ref="G7:G13" si="2">B7-F7</f>
        <v>6900.3438999605678</v>
      </c>
      <c r="H7" s="117">
        <f t="shared" ref="H7:H13" si="3">G7-I7</f>
        <v>1807.5715171192551</v>
      </c>
      <c r="I7" s="117">
        <f>SUMIF('04a_PROPUESTA_MO'!$R$9:$R$42,'04c_Resumen_MO'!A7,'04a_PROPUESTA_MO'!$AN$9:$AN$42)</f>
        <v>5092.7723828413127</v>
      </c>
      <c r="K7" s="45">
        <f t="shared" ref="K7:K13" si="4">B7-C7</f>
        <v>14435.55400415282</v>
      </c>
    </row>
    <row r="8" spans="1:11">
      <c r="A8" s="115">
        <v>3</v>
      </c>
      <c r="B8" s="117">
        <f>SUMIF('04a_PROPUESTA_MO'!$R$9:$R$42,'04c_Resumen_MO'!A8,'04a_PROPUESTA_MO'!$T$9:$T$42)</f>
        <v>19436.47454042</v>
      </c>
      <c r="C8" s="117">
        <f>SUMIF('04a_PROPUESTA_MO'!$R$9:$R$42,'04c_Resumen_MO'!A8,'04a_PROPUESTA_MO'!$AH$9:$AH$42)</f>
        <v>2936.0801443705127</v>
      </c>
      <c r="D8" s="117">
        <f>SUMIF('04a_PROPUESTA_MO'!$R$9:$R$42,'04c_Resumen_MO'!A8,'04a_PROPUESTA_MO'!$AI$9:$AI$42)</f>
        <v>9141.2862344640271</v>
      </c>
      <c r="E8" s="117">
        <f>SUMIF('04a_PROPUESTA_MO'!$R$9:$R$42,'04c_Resumen_MO'!A8,'04a_PROPUESTA_MO'!$AJ$9:$AJ$42)</f>
        <v>0</v>
      </c>
      <c r="F8" s="117">
        <f t="shared" si="1"/>
        <v>12077.36637883454</v>
      </c>
      <c r="G8" s="117">
        <f t="shared" si="2"/>
        <v>7359.10816158546</v>
      </c>
      <c r="H8" s="117">
        <f t="shared" si="3"/>
        <v>1927.30540823921</v>
      </c>
      <c r="I8" s="117">
        <f>SUMIF('04a_PROPUESTA_MO'!$R$9:$R$42,'04c_Resumen_MO'!A8,'04a_PROPUESTA_MO'!$AN$9:$AN$42)</f>
        <v>5431.80275334625</v>
      </c>
      <c r="K8" s="45">
        <f t="shared" si="4"/>
        <v>16500.394396049487</v>
      </c>
    </row>
    <row r="9" spans="1:11">
      <c r="A9" s="115">
        <v>4</v>
      </c>
      <c r="B9" s="117">
        <f>SUMIF('04a_PROPUESTA_MO'!$R$9:$R$42,'04c_Resumen_MO'!A9,'04a_PROPUESTA_MO'!$T$9:$T$42)</f>
        <v>25621.213912839001</v>
      </c>
      <c r="C9" s="117">
        <f>SUMIF('04a_PROPUESTA_MO'!$R$9:$R$42,'04c_Resumen_MO'!A9,'04a_PROPUESTA_MO'!$AH$9:$AH$42)</f>
        <v>6313.2384713358988</v>
      </c>
      <c r="D9" s="117">
        <f>SUMIF('04a_PROPUESTA_MO'!$R$9:$R$42,'04c_Resumen_MO'!A9,'04a_PROPUESTA_MO'!$AI$9:$AI$42)</f>
        <v>8869.4347907373231</v>
      </c>
      <c r="E9" s="117">
        <f>SUMIF('04a_PROPUESTA_MO'!$R$9:$R$42,'04c_Resumen_MO'!A9,'04a_PROPUESTA_MO'!$AJ$9:$AJ$42)</f>
        <v>0</v>
      </c>
      <c r="F9" s="117">
        <f t="shared" si="1"/>
        <v>15182.673262073222</v>
      </c>
      <c r="G9" s="117">
        <f t="shared" si="2"/>
        <v>10438.540650765779</v>
      </c>
      <c r="H9" s="117">
        <f t="shared" si="3"/>
        <v>2305.0707388953133</v>
      </c>
      <c r="I9" s="117">
        <f>SUMIF('04a_PROPUESTA_MO'!$R$9:$R$42,'04c_Resumen_MO'!A9,'04a_PROPUESTA_MO'!$AN$9:$AN$42)</f>
        <v>8133.4699118704657</v>
      </c>
      <c r="K9" s="45">
        <f t="shared" si="4"/>
        <v>19307.975441503102</v>
      </c>
    </row>
    <row r="10" spans="1:11">
      <c r="A10" s="115">
        <v>5</v>
      </c>
      <c r="B10" s="117">
        <f>SUMIF('04a_PROPUESTA_MO'!$R$9:$R$42,'04c_Resumen_MO'!A10,'04a_PROPUESTA_MO'!$T$9:$T$42)</f>
        <v>27038.024665190002</v>
      </c>
      <c r="C10" s="117">
        <f>SUMIF('04a_PROPUESTA_MO'!$R$9:$R$42,'04c_Resumen_MO'!A10,'04a_PROPUESTA_MO'!$AH$9:$AH$42)</f>
        <v>2870.317660930994</v>
      </c>
      <c r="D10" s="117">
        <f>SUMIF('04a_PROPUESTA_MO'!$R$9:$R$42,'04c_Resumen_MO'!A10,'04a_PROPUESTA_MO'!$AI$9:$AI$42)</f>
        <v>13279.248504517975</v>
      </c>
      <c r="E10" s="117">
        <f>SUMIF('04a_PROPUESTA_MO'!$R$9:$R$42,'04c_Resumen_MO'!A10,'04a_PROPUESTA_MO'!$AJ$9:$AJ$42)</f>
        <v>2806.2957185564351</v>
      </c>
      <c r="F10" s="117">
        <f t="shared" si="1"/>
        <v>18955.861884005404</v>
      </c>
      <c r="G10" s="117">
        <f t="shared" si="2"/>
        <v>8082.1627811845974</v>
      </c>
      <c r="H10" s="117">
        <f t="shared" si="3"/>
        <v>2084.0473711146669</v>
      </c>
      <c r="I10" s="117">
        <f>SUMIF('04a_PROPUESTA_MO'!$R$9:$R$42,'04c_Resumen_MO'!A10,'04a_PROPUESTA_MO'!$AN$9:$AN$42)</f>
        <v>5998.1154100699305</v>
      </c>
      <c r="K10" s="45">
        <f t="shared" si="4"/>
        <v>24167.707004259006</v>
      </c>
    </row>
    <row r="11" spans="1:11">
      <c r="A11" s="115">
        <v>6</v>
      </c>
      <c r="B11" s="117">
        <f>SUMIF('04a_PROPUESTA_MO'!$R$9:$R$42,'04c_Resumen_MO'!A11,'04a_PROPUESTA_MO'!$T$9:$T$42)</f>
        <v>21089.89942655</v>
      </c>
      <c r="C11" s="117">
        <f>SUMIF('04a_PROPUESTA_MO'!$R$9:$R$42,'04c_Resumen_MO'!A11,'04a_PROPUESTA_MO'!$AH$9:$AH$42)</f>
        <v>5562.2636057221716</v>
      </c>
      <c r="D11" s="117">
        <f>SUMIF('04a_PROPUESTA_MO'!$R$9:$R$42,'04c_Resumen_MO'!A11,'04a_PROPUESTA_MO'!$AI$9:$AI$42)</f>
        <v>6942.1096135623484</v>
      </c>
      <c r="E11" s="117">
        <f>SUMIF('04a_PROPUESTA_MO'!$R$9:$R$42,'04c_Resumen_MO'!A11,'04a_PROPUESTA_MO'!$AJ$9:$AJ$42)</f>
        <v>0</v>
      </c>
      <c r="F11" s="117">
        <f t="shared" si="1"/>
        <v>12504.37321928452</v>
      </c>
      <c r="G11" s="117">
        <f t="shared" si="2"/>
        <v>8585.5262072654805</v>
      </c>
      <c r="H11" s="117">
        <f t="shared" si="3"/>
        <v>1905.1278876901943</v>
      </c>
      <c r="I11" s="117">
        <f>SUMIF('04a_PROPUESTA_MO'!$R$9:$R$42,'04c_Resumen_MO'!A11,'04a_PROPUESTA_MO'!$AN$9:$AN$42)</f>
        <v>6680.3983195752862</v>
      </c>
      <c r="K11" s="45">
        <f t="shared" si="4"/>
        <v>15527.635820827829</v>
      </c>
    </row>
    <row r="12" spans="1:11">
      <c r="A12" s="115">
        <v>7</v>
      </c>
      <c r="B12" s="117">
        <f>SUMIF('04a_PROPUESTA_MO'!$R$9:$R$42,'04c_Resumen_MO'!A12,'04a_PROPUESTA_MO'!$T$9:$T$42)</f>
        <v>23967.619699999999</v>
      </c>
      <c r="C12" s="117">
        <f>SUMIF('04a_PROPUESTA_MO'!$R$9:$R$42,'04c_Resumen_MO'!A12,'04a_PROPUESTA_MO'!$AH$9:$AH$42)</f>
        <v>3251.2337344159237</v>
      </c>
      <c r="D12" s="117">
        <f>SUMIF('04a_PROPUESTA_MO'!$R$9:$R$42,'04c_Resumen_MO'!A12,'04a_PROPUESTA_MO'!$AI$9:$AI$42)</f>
        <v>11010.760040763742</v>
      </c>
      <c r="E12" s="117">
        <f>SUMIF('04a_PROPUESTA_MO'!$R$9:$R$42,'04c_Resumen_MO'!A12,'04a_PROPUESTA_MO'!$AJ$9:$AJ$42)</f>
        <v>2456.7635053029921</v>
      </c>
      <c r="F12" s="117">
        <f t="shared" si="1"/>
        <v>16718.75728048266</v>
      </c>
      <c r="G12" s="117">
        <f t="shared" si="2"/>
        <v>7248.8624195173397</v>
      </c>
      <c r="H12" s="117">
        <f t="shared" si="3"/>
        <v>983.66140280594755</v>
      </c>
      <c r="I12" s="117">
        <f>SUMIF('04a_PROPUESTA_MO'!$R$9:$R$42,'04c_Resumen_MO'!A12,'04a_PROPUESTA_MO'!$AN$9:$AN$42)</f>
        <v>6265.2010167113922</v>
      </c>
      <c r="K12" s="45">
        <f t="shared" si="4"/>
        <v>20716.385965584075</v>
      </c>
    </row>
    <row r="13" spans="1:11">
      <c r="A13" s="115">
        <v>8</v>
      </c>
      <c r="B13" s="117">
        <f>SUMIF('04a_PROPUESTA_MO'!$R$9:$R$42,'04c_Resumen_MO'!A13,'04a_PROPUESTA_MO'!$T$9:$T$42)</f>
        <v>14752.6990159</v>
      </c>
      <c r="C13" s="117">
        <f>SUMIF('04a_PROPUESTA_MO'!$R$9:$R$42,'04c_Resumen_MO'!A13,'04a_PROPUESTA_MO'!$AH$9:$AH$42)</f>
        <v>2656.3461894238176</v>
      </c>
      <c r="D13" s="117">
        <f>SUMIF('04a_PROPUESTA_MO'!$R$9:$R$42,'04c_Resumen_MO'!A13,'04a_PROPUESTA_MO'!$AI$9:$AI$42)</f>
        <v>7315.9371761083858</v>
      </c>
      <c r="E13" s="117">
        <f>SUMIF('04a_PROPUESTA_MO'!$R$9:$R$42,'04c_Resumen_MO'!A13,'04a_PROPUESTA_MO'!$AJ$9:$AJ$42)</f>
        <v>0</v>
      </c>
      <c r="F13" s="117">
        <f t="shared" si="1"/>
        <v>9972.2833655322029</v>
      </c>
      <c r="G13" s="117">
        <f t="shared" si="2"/>
        <v>4780.4156503677968</v>
      </c>
      <c r="H13" s="117">
        <f t="shared" si="3"/>
        <v>1355.267661338411</v>
      </c>
      <c r="I13" s="117">
        <f>SUMIF('04a_PROPUESTA_MO'!$R$9:$R$42,'04c_Resumen_MO'!A13,'04a_PROPUESTA_MO'!$AN$9:$AN$42)</f>
        <v>3425.1479890293858</v>
      </c>
      <c r="K13" s="45">
        <f t="shared" si="4"/>
        <v>12096.352826476183</v>
      </c>
    </row>
  </sheetData>
  <mergeCells count="7">
    <mergeCell ref="A1:I1"/>
    <mergeCell ref="I2:I3"/>
    <mergeCell ref="C2:F2"/>
    <mergeCell ref="B2:B3"/>
    <mergeCell ref="A2:A3"/>
    <mergeCell ref="G2:G3"/>
    <mergeCell ref="H2:H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8E5B8-2497-49FC-AD6C-A7F846BBC174}">
  <dimension ref="A1:T47"/>
  <sheetViews>
    <sheetView topLeftCell="D1" zoomScale="115" zoomScaleNormal="115" workbookViewId="0">
      <pane xSplit="5" ySplit="6" topLeftCell="U7" activePane="bottomRight" state="frozen"/>
      <selection pane="bottomRight" sqref="A1:H3"/>
      <selection pane="bottomLeft" activeCell="D7" sqref="D7"/>
      <selection pane="topRight" activeCell="I1" sqref="I1"/>
    </sheetView>
  </sheetViews>
  <sheetFormatPr defaultColWidth="11.375" defaultRowHeight="13.9"/>
  <cols>
    <col min="1" max="1" width="13" style="42" bestFit="1" customWidth="1"/>
    <col min="2" max="3" width="11.375" style="7"/>
    <col min="4" max="4" width="13.625" style="45" bestFit="1" customWidth="1"/>
    <col min="5" max="5" width="9" style="44" bestFit="1" customWidth="1"/>
    <col min="6" max="6" width="57.625" style="42" bestFit="1" customWidth="1"/>
    <col min="7" max="7" width="14.625" style="18" bestFit="1" customWidth="1"/>
    <col min="8" max="8" width="15.625" style="4" bestFit="1" customWidth="1"/>
    <col min="9" max="9" width="11.25"/>
    <col min="10" max="10" width="27.625" style="7" bestFit="1" customWidth="1"/>
    <col min="11" max="11" width="12" style="7" customWidth="1"/>
    <col min="12" max="12" width="13.75" style="7" bestFit="1" customWidth="1"/>
    <col min="13" max="13" width="23" style="7" bestFit="1" customWidth="1"/>
    <col min="14" max="14" width="11.375" style="7"/>
    <col min="15" max="15" width="12.875" style="7" bestFit="1" customWidth="1"/>
    <col min="16" max="16" width="13.75" style="7" bestFit="1" customWidth="1"/>
    <col min="17" max="17" width="9" style="7" bestFit="1" customWidth="1"/>
    <col min="18" max="18" width="19.125" style="7" bestFit="1" customWidth="1"/>
    <col min="19" max="19" width="37.875" style="42" bestFit="1" customWidth="1"/>
    <col min="20" max="20" width="77.25" style="7" customWidth="1"/>
    <col min="21" max="16384" width="11.375" style="42"/>
  </cols>
  <sheetData>
    <row r="1" spans="1:20">
      <c r="A1" s="1545" t="s">
        <v>247</v>
      </c>
      <c r="B1" s="1545"/>
      <c r="C1" s="1545"/>
      <c r="D1" s="1545"/>
      <c r="E1" s="1545"/>
      <c r="F1" s="1545"/>
      <c r="G1" s="1545"/>
      <c r="H1" s="1545"/>
      <c r="J1" s="3" t="s">
        <v>583</v>
      </c>
      <c r="K1" s="3"/>
      <c r="L1" s="3"/>
      <c r="M1" s="3"/>
      <c r="N1" s="1549" t="s">
        <v>584</v>
      </c>
      <c r="O1" s="1549"/>
      <c r="P1" s="1549"/>
      <c r="Q1" s="1549"/>
      <c r="R1" s="1549"/>
    </row>
    <row r="2" spans="1:20">
      <c r="A2" s="1546"/>
      <c r="B2" s="1546"/>
      <c r="C2" s="1546"/>
      <c r="D2" s="1546"/>
      <c r="E2" s="1546"/>
      <c r="F2" s="1546"/>
      <c r="G2" s="1546"/>
      <c r="H2" s="1546"/>
      <c r="J2" s="3" t="s">
        <v>585</v>
      </c>
      <c r="K2" s="3"/>
      <c r="L2" s="3"/>
      <c r="M2" s="3"/>
      <c r="N2" s="1547" t="s">
        <v>586</v>
      </c>
      <c r="O2" s="1547"/>
      <c r="P2" s="1548" t="s">
        <v>587</v>
      </c>
      <c r="Q2" s="1548"/>
      <c r="R2" s="1548"/>
      <c r="S2" s="1544" t="s">
        <v>588</v>
      </c>
      <c r="T2" s="1544"/>
    </row>
    <row r="3" spans="1:20" s="43" customFormat="1">
      <c r="A3" s="664" t="s">
        <v>589</v>
      </c>
      <c r="B3" s="665" t="s">
        <v>254</v>
      </c>
      <c r="C3" s="665"/>
      <c r="D3" s="666" t="s">
        <v>542</v>
      </c>
      <c r="E3" s="667" t="s">
        <v>543</v>
      </c>
      <c r="F3" s="665" t="s">
        <v>310</v>
      </c>
      <c r="G3" s="668" t="s">
        <v>590</v>
      </c>
      <c r="H3" s="669" t="s">
        <v>591</v>
      </c>
      <c r="J3" s="3" t="s">
        <v>592</v>
      </c>
      <c r="K3" s="3"/>
      <c r="L3" s="3" t="s">
        <v>593</v>
      </c>
      <c r="M3" s="3" t="s">
        <v>594</v>
      </c>
      <c r="N3" s="3" t="s">
        <v>595</v>
      </c>
      <c r="O3" s="3" t="s">
        <v>596</v>
      </c>
      <c r="P3" s="1549" t="s">
        <v>597</v>
      </c>
      <c r="Q3" s="1549"/>
      <c r="R3" s="1549"/>
      <c r="S3" s="89" t="s">
        <v>598</v>
      </c>
      <c r="T3" s="89" t="s">
        <v>599</v>
      </c>
    </row>
    <row r="4" spans="1:20" s="43" customFormat="1">
      <c r="A4" s="48"/>
      <c r="B4" s="41" t="s">
        <v>557</v>
      </c>
      <c r="C4" s="41"/>
      <c r="D4" s="46" t="s">
        <v>164</v>
      </c>
      <c r="E4" s="49" t="s">
        <v>220</v>
      </c>
      <c r="F4" s="41" t="s">
        <v>558</v>
      </c>
      <c r="G4" s="50"/>
      <c r="H4" s="51"/>
      <c r="J4" s="3" t="s">
        <v>600</v>
      </c>
      <c r="K4" s="3" t="s">
        <v>39</v>
      </c>
      <c r="L4" s="3" t="s">
        <v>601</v>
      </c>
      <c r="M4" s="3" t="s">
        <v>602</v>
      </c>
      <c r="N4" s="3" t="s">
        <v>603</v>
      </c>
      <c r="O4" s="3" t="s">
        <v>601</v>
      </c>
      <c r="P4" s="3" t="s">
        <v>604</v>
      </c>
      <c r="Q4" s="3" t="s">
        <v>211</v>
      </c>
      <c r="R4" s="3" t="s">
        <v>605</v>
      </c>
      <c r="T4" s="3"/>
    </row>
    <row r="5" spans="1:20">
      <c r="A5" s="52"/>
      <c r="B5" s="53" t="s">
        <v>606</v>
      </c>
      <c r="C5" s="53"/>
      <c r="D5" s="54">
        <f>SUM(D6,D9,D15,D22,D32,D37,D41,D43)</f>
        <v>164776.711307171</v>
      </c>
      <c r="E5" s="55"/>
      <c r="F5" s="52"/>
      <c r="G5" s="56"/>
      <c r="H5" s="57"/>
    </row>
    <row r="6" spans="1:20">
      <c r="A6" s="1541" t="s">
        <v>607</v>
      </c>
      <c r="B6" s="1541"/>
      <c r="C6" s="1541"/>
      <c r="D6" s="58">
        <f>SUM(D7:D8)</f>
        <v>17268.248534736002</v>
      </c>
      <c r="E6" s="59">
        <f>SUM(E7:E8)</f>
        <v>1</v>
      </c>
      <c r="F6" s="60"/>
      <c r="G6" s="47">
        <f>SUM(G7:G8)</f>
        <v>1</v>
      </c>
      <c r="H6" s="61">
        <f>SUM(H7:H8)</f>
        <v>1</v>
      </c>
      <c r="J6" s="7" t="s">
        <v>67</v>
      </c>
      <c r="K6" s="7" t="s">
        <v>67</v>
      </c>
    </row>
    <row r="7" spans="1:20">
      <c r="A7" s="62" t="s">
        <v>264</v>
      </c>
      <c r="B7" s="63">
        <v>1</v>
      </c>
      <c r="C7" s="63"/>
      <c r="D7" s="64">
        <v>16461.200400000002</v>
      </c>
      <c r="E7" s="65">
        <f t="shared" ref="E7:E8" si="0">D7/$D$6</f>
        <v>0.95326404220366767</v>
      </c>
      <c r="F7" s="66" t="s">
        <v>349</v>
      </c>
      <c r="G7" s="1542">
        <f>SUMIF(F7:F8,F7,E7:E8)</f>
        <v>1</v>
      </c>
      <c r="H7" s="1543">
        <v>1</v>
      </c>
      <c r="J7" s="7" t="s">
        <v>67</v>
      </c>
      <c r="K7" s="7" t="s">
        <v>67</v>
      </c>
      <c r="M7" s="7" t="s">
        <v>71</v>
      </c>
      <c r="N7" s="7" t="s">
        <v>63</v>
      </c>
      <c r="O7" s="7" t="s">
        <v>115</v>
      </c>
      <c r="P7" s="7" t="s">
        <v>115</v>
      </c>
      <c r="Q7" s="7" t="s">
        <v>115</v>
      </c>
      <c r="R7" s="7" t="s">
        <v>115</v>
      </c>
      <c r="S7" s="42" t="s">
        <v>608</v>
      </c>
      <c r="T7" s="7" t="s">
        <v>609</v>
      </c>
    </row>
    <row r="8" spans="1:20">
      <c r="A8" s="69" t="s">
        <v>265</v>
      </c>
      <c r="B8" s="63">
        <v>2</v>
      </c>
      <c r="C8" s="63"/>
      <c r="D8" s="64">
        <v>807.04813473599995</v>
      </c>
      <c r="E8" s="65">
        <f t="shared" si="0"/>
        <v>4.6735957796332363E-2</v>
      </c>
      <c r="F8" s="66" t="s">
        <v>349</v>
      </c>
      <c r="G8" s="1542"/>
      <c r="H8" s="1543"/>
      <c r="J8" s="7" t="s">
        <v>67</v>
      </c>
      <c r="K8" s="7" t="s">
        <v>67</v>
      </c>
      <c r="M8" s="7" t="s">
        <v>71</v>
      </c>
      <c r="N8" s="7" t="s">
        <v>63</v>
      </c>
      <c r="O8" s="7" t="s">
        <v>115</v>
      </c>
      <c r="P8" s="7" t="s">
        <v>115</v>
      </c>
      <c r="Q8" s="7" t="s">
        <v>115</v>
      </c>
      <c r="R8" s="7" t="s">
        <v>115</v>
      </c>
      <c r="S8" s="42" t="s">
        <v>608</v>
      </c>
      <c r="T8" s="7" t="s">
        <v>609</v>
      </c>
    </row>
    <row r="9" spans="1:20">
      <c r="A9" s="1541" t="s">
        <v>610</v>
      </c>
      <c r="B9" s="1541"/>
      <c r="C9" s="1541"/>
      <c r="D9" s="58">
        <f>SUM(D10:D14)</f>
        <v>15602.531511536001</v>
      </c>
      <c r="E9" s="59">
        <f>SUM(E10:E14)</f>
        <v>0.99999999999999978</v>
      </c>
      <c r="F9" s="59"/>
      <c r="G9" s="47">
        <f t="shared" ref="G9:H9" si="1">SUM(G10:G14)</f>
        <v>0.99999999999999978</v>
      </c>
      <c r="H9" s="70">
        <f t="shared" si="1"/>
        <v>2</v>
      </c>
      <c r="J9" s="7" t="s">
        <v>67</v>
      </c>
      <c r="K9" s="7" t="s">
        <v>67</v>
      </c>
    </row>
    <row r="10" spans="1:20">
      <c r="A10" s="69" t="s">
        <v>266</v>
      </c>
      <c r="B10" s="63">
        <v>1</v>
      </c>
      <c r="C10" s="63"/>
      <c r="D10" s="64">
        <v>811.64101487899995</v>
      </c>
      <c r="E10" s="65">
        <f>D10/$D$9</f>
        <v>5.2019828595051977E-2</v>
      </c>
      <c r="F10" s="66" t="s">
        <v>349</v>
      </c>
      <c r="G10" s="1542">
        <f>SUMIF(F10:F14,F10,E10:E14)</f>
        <v>0.94793457481522303</v>
      </c>
      <c r="H10" s="1543">
        <v>1</v>
      </c>
      <c r="J10" s="7" t="s">
        <v>67</v>
      </c>
      <c r="K10" s="7" t="s">
        <v>67</v>
      </c>
      <c r="M10" s="7" t="s">
        <v>71</v>
      </c>
      <c r="N10" s="7" t="s">
        <v>63</v>
      </c>
      <c r="O10" s="7" t="s">
        <v>115</v>
      </c>
      <c r="P10" s="7" t="s">
        <v>115</v>
      </c>
      <c r="Q10" s="7" t="s">
        <v>115</v>
      </c>
      <c r="R10" s="7" t="s">
        <v>115</v>
      </c>
      <c r="S10" s="42" t="s">
        <v>611</v>
      </c>
      <c r="T10" s="7" t="s">
        <v>609</v>
      </c>
    </row>
    <row r="11" spans="1:20">
      <c r="A11" s="62" t="s">
        <v>264</v>
      </c>
      <c r="B11" s="63">
        <v>2</v>
      </c>
      <c r="C11" s="63"/>
      <c r="D11" s="64">
        <v>12352.429099999999</v>
      </c>
      <c r="E11" s="65">
        <f t="shared" ref="E11:E14" si="2">D11/$D$9</f>
        <v>0.79169390498375325</v>
      </c>
      <c r="F11" s="66" t="s">
        <v>349</v>
      </c>
      <c r="G11" s="1542"/>
      <c r="H11" s="1543"/>
      <c r="J11" s="7" t="s">
        <v>67</v>
      </c>
      <c r="K11" s="7" t="s">
        <v>67</v>
      </c>
      <c r="M11" s="7" t="s">
        <v>71</v>
      </c>
      <c r="N11" s="7" t="s">
        <v>63</v>
      </c>
      <c r="O11" s="7" t="s">
        <v>115</v>
      </c>
      <c r="P11" s="7" t="s">
        <v>115</v>
      </c>
      <c r="Q11" s="7" t="s">
        <v>115</v>
      </c>
      <c r="R11" s="7" t="s">
        <v>115</v>
      </c>
      <c r="S11" s="42" t="s">
        <v>611</v>
      </c>
      <c r="T11" s="7" t="s">
        <v>609</v>
      </c>
    </row>
    <row r="12" spans="1:20">
      <c r="A12" s="69" t="s">
        <v>267</v>
      </c>
      <c r="B12" s="63">
        <v>3</v>
      </c>
      <c r="C12" s="63"/>
      <c r="D12" s="64">
        <v>812.16271328100004</v>
      </c>
      <c r="E12" s="65">
        <f t="shared" si="2"/>
        <v>5.2053265374308877E-2</v>
      </c>
      <c r="F12" s="66" t="s">
        <v>349</v>
      </c>
      <c r="G12" s="1542"/>
      <c r="H12" s="1543"/>
      <c r="J12" s="7" t="s">
        <v>67</v>
      </c>
      <c r="K12" s="7" t="s">
        <v>67</v>
      </c>
      <c r="M12" s="7" t="s">
        <v>71</v>
      </c>
      <c r="N12" s="7" t="s">
        <v>63</v>
      </c>
      <c r="O12" s="7" t="s">
        <v>115</v>
      </c>
      <c r="P12" s="7" t="s">
        <v>115</v>
      </c>
      <c r="Q12" s="7" t="s">
        <v>115</v>
      </c>
      <c r="R12" s="7" t="s">
        <v>115</v>
      </c>
      <c r="S12" s="42" t="s">
        <v>611</v>
      </c>
      <c r="T12" s="7" t="s">
        <v>609</v>
      </c>
    </row>
    <row r="13" spans="1:20">
      <c r="A13" s="69" t="s">
        <v>268</v>
      </c>
      <c r="B13" s="63">
        <v>4</v>
      </c>
      <c r="C13" s="63"/>
      <c r="D13" s="64">
        <v>813.94624626899997</v>
      </c>
      <c r="E13" s="65">
        <f t="shared" si="2"/>
        <v>5.2167575862108961E-2</v>
      </c>
      <c r="F13" s="66" t="s">
        <v>349</v>
      </c>
      <c r="G13" s="1542"/>
      <c r="H13" s="1543"/>
      <c r="J13" s="7" t="s">
        <v>67</v>
      </c>
      <c r="K13" s="7" t="s">
        <v>67</v>
      </c>
      <c r="M13" s="7" t="s">
        <v>71</v>
      </c>
      <c r="N13" s="7" t="s">
        <v>63</v>
      </c>
      <c r="O13" s="7" t="s">
        <v>115</v>
      </c>
      <c r="P13" s="7" t="s">
        <v>115</v>
      </c>
      <c r="Q13" s="7" t="s">
        <v>115</v>
      </c>
      <c r="R13" s="7" t="s">
        <v>115</v>
      </c>
      <c r="S13" s="42" t="s">
        <v>611</v>
      </c>
      <c r="T13" s="7" t="s">
        <v>609</v>
      </c>
    </row>
    <row r="14" spans="1:20">
      <c r="A14" s="69" t="s">
        <v>269</v>
      </c>
      <c r="B14" s="71">
        <v>5</v>
      </c>
      <c r="C14" s="71"/>
      <c r="D14" s="72">
        <v>812.35243710700001</v>
      </c>
      <c r="E14" s="55">
        <f t="shared" si="2"/>
        <v>5.206542518477679E-2</v>
      </c>
      <c r="F14" s="52" t="s">
        <v>417</v>
      </c>
      <c r="G14" s="56">
        <f>SUMIF(F14:F15,F14,E14:E15)</f>
        <v>5.206542518477679E-2</v>
      </c>
      <c r="H14" s="57">
        <v>1</v>
      </c>
      <c r="J14" s="7" t="s">
        <v>71</v>
      </c>
      <c r="K14" s="7" t="s">
        <v>71</v>
      </c>
      <c r="N14" s="7" t="s">
        <v>63</v>
      </c>
      <c r="O14" s="7" t="s">
        <v>63</v>
      </c>
      <c r="P14" s="7" t="s">
        <v>63</v>
      </c>
      <c r="Q14" s="7" t="s">
        <v>63</v>
      </c>
      <c r="R14" s="7" t="s">
        <v>63</v>
      </c>
      <c r="S14" s="42" t="s">
        <v>603</v>
      </c>
      <c r="T14" s="7" t="s">
        <v>612</v>
      </c>
    </row>
    <row r="15" spans="1:20">
      <c r="A15" s="1541" t="s">
        <v>613</v>
      </c>
      <c r="B15" s="1541"/>
      <c r="C15" s="1541"/>
      <c r="D15" s="58">
        <f>SUM(D16:D21)</f>
        <v>19436.47454042</v>
      </c>
      <c r="E15" s="59">
        <f>SUM(E16:E21)</f>
        <v>1</v>
      </c>
      <c r="F15" s="60"/>
      <c r="G15" s="47">
        <f t="shared" ref="G15:H15" si="3">SUM(G16:G21)</f>
        <v>1</v>
      </c>
      <c r="H15" s="70">
        <f t="shared" si="3"/>
        <v>3</v>
      </c>
    </row>
    <row r="16" spans="1:20">
      <c r="A16" s="69" t="s">
        <v>270</v>
      </c>
      <c r="B16" s="63">
        <v>1</v>
      </c>
      <c r="C16" s="63"/>
      <c r="D16" s="64">
        <v>817.516231199</v>
      </c>
      <c r="E16" s="65">
        <f>D16/$D$15</f>
        <v>4.206093185772436E-2</v>
      </c>
      <c r="F16" s="66" t="s">
        <v>349</v>
      </c>
      <c r="G16" s="1542">
        <f>SUMIF($F$16:$F$21,F16,$E$16:$E$21)</f>
        <v>0.92342845587881806</v>
      </c>
      <c r="H16" s="1543">
        <v>1</v>
      </c>
      <c r="J16" s="7" t="s">
        <v>67</v>
      </c>
      <c r="K16" s="7" t="s">
        <v>67</v>
      </c>
      <c r="M16" s="7" t="s">
        <v>71</v>
      </c>
      <c r="N16" s="7" t="s">
        <v>63</v>
      </c>
      <c r="O16" s="7" t="s">
        <v>115</v>
      </c>
      <c r="P16" s="7" t="s">
        <v>115</v>
      </c>
      <c r="Q16" s="7" t="s">
        <v>115</v>
      </c>
      <c r="R16" s="7" t="s">
        <v>115</v>
      </c>
      <c r="S16" s="42" t="s">
        <v>611</v>
      </c>
      <c r="T16" s="7" t="s">
        <v>609</v>
      </c>
    </row>
    <row r="17" spans="1:20">
      <c r="A17" s="69" t="s">
        <v>271</v>
      </c>
      <c r="B17" s="63">
        <v>2</v>
      </c>
      <c r="C17" s="63"/>
      <c r="D17" s="64">
        <v>814.02717380900003</v>
      </c>
      <c r="E17" s="65">
        <f t="shared" ref="E17:E21" si="4">D17/$D$15</f>
        <v>4.1881421042491679E-2</v>
      </c>
      <c r="F17" s="66" t="s">
        <v>349</v>
      </c>
      <c r="G17" s="1542"/>
      <c r="H17" s="1543"/>
      <c r="J17" s="7" t="s">
        <v>67</v>
      </c>
      <c r="K17" s="7" t="s">
        <v>67</v>
      </c>
      <c r="M17" s="7" t="s">
        <v>71</v>
      </c>
      <c r="N17" s="7" t="s">
        <v>63</v>
      </c>
      <c r="O17" s="7" t="s">
        <v>115</v>
      </c>
      <c r="P17" s="7" t="s">
        <v>115</v>
      </c>
      <c r="Q17" s="7" t="s">
        <v>115</v>
      </c>
      <c r="R17" s="7" t="s">
        <v>115</v>
      </c>
      <c r="S17" s="42" t="s">
        <v>611</v>
      </c>
      <c r="T17" s="7" t="s">
        <v>609</v>
      </c>
    </row>
    <row r="18" spans="1:20">
      <c r="A18" s="69" t="s">
        <v>272</v>
      </c>
      <c r="B18" s="63">
        <v>3</v>
      </c>
      <c r="C18" s="63"/>
      <c r="D18" s="64">
        <v>1634.6309675800001</v>
      </c>
      <c r="E18" s="65">
        <f t="shared" si="4"/>
        <v>8.4101206943709331E-2</v>
      </c>
      <c r="F18" s="66" t="s">
        <v>349</v>
      </c>
      <c r="G18" s="1542"/>
      <c r="H18" s="1543"/>
      <c r="J18" s="7" t="s">
        <v>67</v>
      </c>
      <c r="K18" s="7" t="s">
        <v>67</v>
      </c>
      <c r="M18" s="7" t="s">
        <v>71</v>
      </c>
      <c r="N18" s="7" t="s">
        <v>63</v>
      </c>
      <c r="O18" s="7" t="s">
        <v>115</v>
      </c>
      <c r="P18" s="7" t="s">
        <v>115</v>
      </c>
      <c r="Q18" s="7" t="s">
        <v>115</v>
      </c>
      <c r="R18" s="7" t="s">
        <v>115</v>
      </c>
      <c r="S18" s="42" t="s">
        <v>611</v>
      </c>
      <c r="T18" s="7" t="s">
        <v>609</v>
      </c>
    </row>
    <row r="19" spans="1:20">
      <c r="A19" s="62" t="s">
        <v>264</v>
      </c>
      <c r="B19" s="63">
        <v>4</v>
      </c>
      <c r="C19" s="63"/>
      <c r="D19" s="64">
        <v>14682.0193</v>
      </c>
      <c r="E19" s="65">
        <f t="shared" si="4"/>
        <v>0.75538489603489267</v>
      </c>
      <c r="F19" s="66" t="s">
        <v>349</v>
      </c>
      <c r="G19" s="1542"/>
      <c r="H19" s="1543"/>
      <c r="J19" s="7" t="s">
        <v>67</v>
      </c>
      <c r="K19" s="7" t="s">
        <v>67</v>
      </c>
      <c r="M19" s="7" t="s">
        <v>71</v>
      </c>
      <c r="N19" s="7" t="s">
        <v>63</v>
      </c>
      <c r="O19" s="7" t="s">
        <v>115</v>
      </c>
      <c r="P19" s="7" t="s">
        <v>115</v>
      </c>
      <c r="Q19" s="7" t="s">
        <v>115</v>
      </c>
      <c r="R19" s="7" t="s">
        <v>115</v>
      </c>
      <c r="S19" s="42" t="s">
        <v>611</v>
      </c>
      <c r="T19" s="7" t="s">
        <v>609</v>
      </c>
    </row>
    <row r="20" spans="1:20">
      <c r="A20" s="69" t="s">
        <v>273</v>
      </c>
      <c r="B20" s="71">
        <v>5</v>
      </c>
      <c r="C20" s="71"/>
      <c r="D20" s="72">
        <v>820.37306783199995</v>
      </c>
      <c r="E20" s="55">
        <f t="shared" si="4"/>
        <v>4.2207915130182481E-2</v>
      </c>
      <c r="F20" s="52" t="s">
        <v>410</v>
      </c>
      <c r="G20" s="56">
        <f>SUMIF($F$16:$F$21,F20,$E$16:$E$21)</f>
        <v>4.2207915130182481E-2</v>
      </c>
      <c r="H20" s="57">
        <v>1</v>
      </c>
      <c r="J20" s="7" t="s">
        <v>67</v>
      </c>
      <c r="K20" s="7" t="s">
        <v>67</v>
      </c>
      <c r="L20" s="7" t="s">
        <v>71</v>
      </c>
      <c r="N20" s="7" t="s">
        <v>63</v>
      </c>
      <c r="O20" s="7" t="s">
        <v>63</v>
      </c>
      <c r="S20" s="42" t="s">
        <v>603</v>
      </c>
      <c r="T20" s="7" t="s">
        <v>612</v>
      </c>
    </row>
    <row r="21" spans="1:20">
      <c r="A21" s="73" t="s">
        <v>274</v>
      </c>
      <c r="B21" s="71">
        <v>6</v>
      </c>
      <c r="C21" s="71"/>
      <c r="D21" s="72">
        <v>667.90779999999995</v>
      </c>
      <c r="E21" s="55">
        <f t="shared" si="4"/>
        <v>3.4363628990999477E-2</v>
      </c>
      <c r="F21" s="52" t="s">
        <v>433</v>
      </c>
      <c r="G21" s="56">
        <f>SUMIF($F$16:$F$21,F21,$E$16:$E$21)</f>
        <v>3.4363628990999477E-2</v>
      </c>
      <c r="H21" s="57">
        <v>1</v>
      </c>
      <c r="J21" s="7" t="s">
        <v>67</v>
      </c>
      <c r="K21" s="7" t="s">
        <v>67</v>
      </c>
      <c r="L21" s="7" t="s">
        <v>71</v>
      </c>
      <c r="N21" s="7" t="s">
        <v>63</v>
      </c>
      <c r="O21" s="7" t="s">
        <v>63</v>
      </c>
      <c r="S21" s="42" t="s">
        <v>603</v>
      </c>
      <c r="T21" s="7" t="s">
        <v>612</v>
      </c>
    </row>
    <row r="22" spans="1:20">
      <c r="A22" s="1541" t="s">
        <v>614</v>
      </c>
      <c r="B22" s="1541"/>
      <c r="C22" s="1541"/>
      <c r="D22" s="58">
        <f>SUM(D23:D31)</f>
        <v>25621.213912839001</v>
      </c>
      <c r="E22" s="59">
        <f>SUM(E23:E31)</f>
        <v>1</v>
      </c>
      <c r="F22" s="60"/>
      <c r="G22" s="47">
        <f t="shared" ref="G22:H22" si="5">SUM(G23:G31)</f>
        <v>1</v>
      </c>
      <c r="H22" s="70">
        <f t="shared" si="5"/>
        <v>6</v>
      </c>
    </row>
    <row r="23" spans="1:20">
      <c r="A23" s="69" t="s">
        <v>275</v>
      </c>
      <c r="B23" s="71">
        <v>1</v>
      </c>
      <c r="C23" s="71"/>
      <c r="D23" s="72">
        <v>819.95528273399998</v>
      </c>
      <c r="E23" s="55">
        <f>D23/$D$22</f>
        <v>3.2002983368524689E-2</v>
      </c>
      <c r="F23" s="52" t="s">
        <v>331</v>
      </c>
      <c r="G23" s="56">
        <f>SUMIF($F$23:$F$31,F23,$E$23:$E$31)</f>
        <v>3.2002983368524689E-2</v>
      </c>
      <c r="H23" s="57">
        <v>1</v>
      </c>
      <c r="J23" s="7" t="s">
        <v>67</v>
      </c>
      <c r="K23" s="7" t="s">
        <v>67</v>
      </c>
      <c r="L23" s="7" t="s">
        <v>71</v>
      </c>
      <c r="N23" s="7" t="s">
        <v>63</v>
      </c>
      <c r="O23" s="7" t="s">
        <v>63</v>
      </c>
      <c r="S23" s="42" t="s">
        <v>603</v>
      </c>
      <c r="T23" s="7" t="s">
        <v>612</v>
      </c>
    </row>
    <row r="24" spans="1:20">
      <c r="A24" s="62" t="s">
        <v>264</v>
      </c>
      <c r="B24" s="63">
        <v>2</v>
      </c>
      <c r="C24" s="63"/>
      <c r="D24" s="64">
        <v>12043.504999999999</v>
      </c>
      <c r="E24" s="65">
        <f t="shared" ref="E24:E31" si="6">D24/$D$22</f>
        <v>0.47005989025230765</v>
      </c>
      <c r="F24" s="66" t="s">
        <v>349</v>
      </c>
      <c r="G24" s="67">
        <f>SUMIF($F$23:$F$31,F24,$E$23:$E$31)</f>
        <v>0.83390829307597514</v>
      </c>
      <c r="H24" s="68">
        <v>1</v>
      </c>
      <c r="J24" s="7" t="s">
        <v>67</v>
      </c>
      <c r="K24" s="7" t="s">
        <v>67</v>
      </c>
      <c r="M24" s="7" t="s">
        <v>71</v>
      </c>
      <c r="N24" s="7" t="s">
        <v>63</v>
      </c>
      <c r="O24" s="7" t="s">
        <v>115</v>
      </c>
      <c r="R24" s="7" t="s">
        <v>115</v>
      </c>
      <c r="S24" s="42" t="s">
        <v>608</v>
      </c>
      <c r="T24" s="7" t="s">
        <v>609</v>
      </c>
    </row>
    <row r="25" spans="1:20">
      <c r="A25" s="69" t="s">
        <v>276</v>
      </c>
      <c r="B25" s="71">
        <v>3</v>
      </c>
      <c r="C25" s="71"/>
      <c r="D25" s="72">
        <v>821.12635442700002</v>
      </c>
      <c r="E25" s="55">
        <f t="shared" si="6"/>
        <v>3.2048690480489951E-2</v>
      </c>
      <c r="F25" s="52" t="s">
        <v>386</v>
      </c>
      <c r="G25" s="56">
        <f>SUMIF($F$23:$F$31,F25,$E$23:$E$31)</f>
        <v>3.2048690480489951E-2</v>
      </c>
      <c r="H25" s="57">
        <v>1</v>
      </c>
      <c r="J25" s="7" t="s">
        <v>67</v>
      </c>
      <c r="K25" s="7" t="s">
        <v>67</v>
      </c>
      <c r="L25" s="7" t="s">
        <v>71</v>
      </c>
      <c r="N25" s="7" t="s">
        <v>63</v>
      </c>
      <c r="O25" s="7" t="s">
        <v>63</v>
      </c>
      <c r="S25" s="42" t="s">
        <v>603</v>
      </c>
      <c r="T25" s="7" t="s">
        <v>612</v>
      </c>
    </row>
    <row r="26" spans="1:20">
      <c r="A26" s="69" t="s">
        <v>277</v>
      </c>
      <c r="B26" s="63">
        <v>4</v>
      </c>
      <c r="C26" s="63"/>
      <c r="D26" s="64">
        <v>1206.97006059</v>
      </c>
      <c r="E26" s="65">
        <f t="shared" si="6"/>
        <v>4.7108230886171144E-2</v>
      </c>
      <c r="F26" s="66" t="s">
        <v>349</v>
      </c>
      <c r="G26" s="74"/>
      <c r="H26" s="68"/>
      <c r="J26" s="7" t="s">
        <v>67</v>
      </c>
      <c r="K26" s="7" t="s">
        <v>67</v>
      </c>
      <c r="M26" s="7" t="s">
        <v>71</v>
      </c>
      <c r="N26" s="7" t="s">
        <v>63</v>
      </c>
      <c r="O26" s="7" t="s">
        <v>115</v>
      </c>
      <c r="R26" s="7" t="s">
        <v>115</v>
      </c>
      <c r="S26" s="42" t="s">
        <v>608</v>
      </c>
      <c r="T26" s="7" t="s">
        <v>609</v>
      </c>
    </row>
    <row r="27" spans="1:20">
      <c r="A27" s="69" t="s">
        <v>278</v>
      </c>
      <c r="B27" s="71">
        <v>5</v>
      </c>
      <c r="C27" s="71"/>
      <c r="D27" s="72">
        <v>819.92433800200001</v>
      </c>
      <c r="E27" s="55">
        <f t="shared" si="6"/>
        <v>3.2001775590778284E-2</v>
      </c>
      <c r="F27" s="52" t="s">
        <v>403</v>
      </c>
      <c r="G27" s="56">
        <f>SUMIF($F$23:$F$31,F27,$E$23:$E$31)</f>
        <v>3.2001775590778284E-2</v>
      </c>
      <c r="H27" s="57">
        <v>1</v>
      </c>
      <c r="J27" s="7" t="s">
        <v>67</v>
      </c>
      <c r="K27" s="7" t="s">
        <v>67</v>
      </c>
      <c r="L27" s="7" t="s">
        <v>71</v>
      </c>
      <c r="N27" s="7" t="s">
        <v>63</v>
      </c>
      <c r="O27" s="7" t="s">
        <v>63</v>
      </c>
      <c r="S27" s="42" t="s">
        <v>603</v>
      </c>
      <c r="T27" s="7" t="s">
        <v>612</v>
      </c>
    </row>
    <row r="28" spans="1:20">
      <c r="A28" s="69" t="s">
        <v>279</v>
      </c>
      <c r="B28" s="71">
        <v>6</v>
      </c>
      <c r="C28" s="71"/>
      <c r="D28" s="72">
        <v>820.64756360399997</v>
      </c>
      <c r="E28" s="55">
        <f t="shared" si="6"/>
        <v>3.2030003199527042E-2</v>
      </c>
      <c r="F28" s="52" t="s">
        <v>417</v>
      </c>
      <c r="G28" s="56">
        <f>SUMIF($F$23:$F$31,F28,$E$23:$E$31)</f>
        <v>3.2030003199527042E-2</v>
      </c>
      <c r="H28" s="57">
        <v>1</v>
      </c>
      <c r="J28" s="7" t="s">
        <v>67</v>
      </c>
      <c r="K28" s="7" t="s">
        <v>67</v>
      </c>
      <c r="L28" s="7" t="s">
        <v>71</v>
      </c>
      <c r="N28" s="7" t="s">
        <v>63</v>
      </c>
      <c r="O28" s="7" t="s">
        <v>63</v>
      </c>
      <c r="S28" s="42" t="s">
        <v>603</v>
      </c>
      <c r="T28" s="7" t="s">
        <v>612</v>
      </c>
    </row>
    <row r="29" spans="1:20">
      <c r="A29" s="73" t="s">
        <v>274</v>
      </c>
      <c r="B29" s="71">
        <v>7</v>
      </c>
      <c r="C29" s="71"/>
      <c r="D29" s="72">
        <v>152.39250000000001</v>
      </c>
      <c r="E29" s="55">
        <f t="shared" si="6"/>
        <v>5.947903191411039E-3</v>
      </c>
      <c r="F29" s="52" t="s">
        <v>433</v>
      </c>
      <c r="G29" s="56">
        <f>SUMIF($F$23:$F$31,F29,$E$23:$E$31)</f>
        <v>3.8008254284704751E-2</v>
      </c>
      <c r="H29" s="57">
        <v>1</v>
      </c>
      <c r="J29" s="7" t="s">
        <v>67</v>
      </c>
      <c r="K29" s="7" t="s">
        <v>67</v>
      </c>
      <c r="L29" s="7" t="s">
        <v>71</v>
      </c>
      <c r="N29" s="7" t="s">
        <v>63</v>
      </c>
      <c r="O29" s="7" t="s">
        <v>63</v>
      </c>
      <c r="S29" s="42" t="s">
        <v>603</v>
      </c>
      <c r="T29" s="7" t="s">
        <v>612</v>
      </c>
    </row>
    <row r="30" spans="1:20">
      <c r="A30" s="75" t="s">
        <v>280</v>
      </c>
      <c r="B30" s="63">
        <v>8</v>
      </c>
      <c r="C30" s="63"/>
      <c r="D30" s="64">
        <v>8115.2677000000003</v>
      </c>
      <c r="E30" s="65">
        <f t="shared" si="6"/>
        <v>0.31674017193749643</v>
      </c>
      <c r="F30" s="66" t="s">
        <v>349</v>
      </c>
      <c r="G30" s="74"/>
      <c r="H30" s="68"/>
      <c r="J30" s="7" t="s">
        <v>67</v>
      </c>
      <c r="K30" s="7" t="s">
        <v>67</v>
      </c>
      <c r="M30" s="7" t="s">
        <v>71</v>
      </c>
      <c r="N30" s="7" t="s">
        <v>63</v>
      </c>
      <c r="O30" s="7" t="s">
        <v>63</v>
      </c>
      <c r="R30" s="7" t="s">
        <v>115</v>
      </c>
      <c r="S30" s="42" t="s">
        <v>615</v>
      </c>
      <c r="T30" s="7" t="s">
        <v>609</v>
      </c>
    </row>
    <row r="31" spans="1:20">
      <c r="A31" s="69" t="s">
        <v>281</v>
      </c>
      <c r="B31" s="71">
        <v>9</v>
      </c>
      <c r="C31" s="71"/>
      <c r="D31" s="72">
        <v>821.42511348200003</v>
      </c>
      <c r="E31" s="55">
        <f t="shared" si="6"/>
        <v>3.2060351093293714E-2</v>
      </c>
      <c r="F31" s="52" t="s">
        <v>433</v>
      </c>
      <c r="G31" s="56"/>
      <c r="H31" s="57"/>
      <c r="J31" s="7" t="s">
        <v>71</v>
      </c>
      <c r="K31" s="7" t="s">
        <v>71</v>
      </c>
      <c r="N31" s="7" t="s">
        <v>63</v>
      </c>
      <c r="O31" s="7" t="s">
        <v>63</v>
      </c>
      <c r="S31" s="42" t="s">
        <v>603</v>
      </c>
      <c r="T31" s="7" t="s">
        <v>612</v>
      </c>
    </row>
    <row r="32" spans="1:20">
      <c r="A32" s="1541" t="s">
        <v>616</v>
      </c>
      <c r="B32" s="1541"/>
      <c r="C32" s="1541"/>
      <c r="D32" s="58">
        <f>SUM(D33:D36)</f>
        <v>27038.024665190002</v>
      </c>
      <c r="E32" s="59">
        <f>SUM(E33:E36)</f>
        <v>0.99999999999999989</v>
      </c>
      <c r="F32" s="60"/>
      <c r="G32" s="47">
        <f t="shared" ref="G32:H32" si="7">SUM(G33:G36)</f>
        <v>0.99999999999999989</v>
      </c>
      <c r="H32" s="70">
        <f t="shared" si="7"/>
        <v>1</v>
      </c>
    </row>
    <row r="33" spans="1:20">
      <c r="A33" s="69" t="s">
        <v>282</v>
      </c>
      <c r="B33" s="63">
        <v>1</v>
      </c>
      <c r="C33" s="63"/>
      <c r="D33" s="64">
        <v>3942.0852054000002</v>
      </c>
      <c r="E33" s="65">
        <f>D33/$D$32</f>
        <v>0.14579782562574634</v>
      </c>
      <c r="F33" s="66" t="s">
        <v>349</v>
      </c>
      <c r="G33" s="1542">
        <f>SUMIF($F$33:$F$36,F33,$E$33:$E$36)</f>
        <v>0.99999999999999989</v>
      </c>
      <c r="H33" s="1543">
        <v>1</v>
      </c>
      <c r="J33" s="7" t="s">
        <v>67</v>
      </c>
      <c r="K33" s="7" t="s">
        <v>67</v>
      </c>
      <c r="M33" s="7" t="s">
        <v>71</v>
      </c>
      <c r="N33" s="7" t="s">
        <v>63</v>
      </c>
      <c r="O33" s="7" t="s">
        <v>115</v>
      </c>
      <c r="R33" s="7" t="s">
        <v>115</v>
      </c>
      <c r="S33" s="42" t="s">
        <v>608</v>
      </c>
      <c r="T33" s="7" t="s">
        <v>609</v>
      </c>
    </row>
    <row r="34" spans="1:20">
      <c r="A34" s="69" t="s">
        <v>283</v>
      </c>
      <c r="B34" s="63">
        <v>2</v>
      </c>
      <c r="C34" s="63"/>
      <c r="D34" s="64">
        <v>4690.4131096499996</v>
      </c>
      <c r="E34" s="65">
        <f t="shared" ref="E34:E36" si="8">D34/$D$32</f>
        <v>0.17347469601537324</v>
      </c>
      <c r="F34" s="66" t="s">
        <v>349</v>
      </c>
      <c r="G34" s="1542"/>
      <c r="H34" s="1543"/>
      <c r="J34" s="7" t="s">
        <v>67</v>
      </c>
      <c r="K34" s="7" t="s">
        <v>67</v>
      </c>
      <c r="M34" s="7" t="s">
        <v>71</v>
      </c>
      <c r="N34" s="7" t="s">
        <v>63</v>
      </c>
      <c r="O34" s="7" t="s">
        <v>115</v>
      </c>
      <c r="R34" s="7" t="s">
        <v>115</v>
      </c>
      <c r="S34" s="42" t="s">
        <v>608</v>
      </c>
      <c r="T34" s="7" t="s">
        <v>609</v>
      </c>
    </row>
    <row r="35" spans="1:20">
      <c r="A35" s="69" t="s">
        <v>284</v>
      </c>
      <c r="B35" s="63">
        <v>3</v>
      </c>
      <c r="C35" s="63"/>
      <c r="D35" s="64">
        <v>6020.3174501399999</v>
      </c>
      <c r="E35" s="65">
        <f t="shared" si="8"/>
        <v>0.22266114202827966</v>
      </c>
      <c r="F35" s="66" t="s">
        <v>349</v>
      </c>
      <c r="G35" s="1542"/>
      <c r="H35" s="1543"/>
      <c r="J35" s="7" t="s">
        <v>67</v>
      </c>
      <c r="K35" s="7" t="s">
        <v>67</v>
      </c>
      <c r="M35" s="7" t="s">
        <v>71</v>
      </c>
      <c r="N35" s="7" t="s">
        <v>63</v>
      </c>
      <c r="O35" s="7" t="s">
        <v>115</v>
      </c>
      <c r="R35" s="7" t="s">
        <v>115</v>
      </c>
      <c r="S35" s="42" t="s">
        <v>608</v>
      </c>
      <c r="T35" s="7" t="s">
        <v>609</v>
      </c>
    </row>
    <row r="36" spans="1:20">
      <c r="A36" s="75" t="s">
        <v>280</v>
      </c>
      <c r="B36" s="63">
        <v>4</v>
      </c>
      <c r="C36" s="63"/>
      <c r="D36" s="64">
        <v>12385.2089</v>
      </c>
      <c r="E36" s="65">
        <f t="shared" si="8"/>
        <v>0.45806633633060068</v>
      </c>
      <c r="F36" s="66" t="s">
        <v>349</v>
      </c>
      <c r="G36" s="1542"/>
      <c r="H36" s="1543"/>
      <c r="J36" s="7" t="s">
        <v>67</v>
      </c>
      <c r="K36" s="7" t="s">
        <v>67</v>
      </c>
      <c r="M36" s="7" t="s">
        <v>71</v>
      </c>
      <c r="N36" s="7" t="s">
        <v>63</v>
      </c>
      <c r="O36" s="7" t="s">
        <v>115</v>
      </c>
      <c r="R36" s="7" t="s">
        <v>115</v>
      </c>
      <c r="S36" s="42" t="s">
        <v>608</v>
      </c>
      <c r="T36" s="7" t="s">
        <v>609</v>
      </c>
    </row>
    <row r="37" spans="1:20">
      <c r="A37" s="1541" t="s">
        <v>617</v>
      </c>
      <c r="B37" s="1541"/>
      <c r="C37" s="1541"/>
      <c r="D37" s="58">
        <f>SUM(D38:D40)</f>
        <v>21089.89942655</v>
      </c>
      <c r="E37" s="59">
        <f>SUM(E38:E40)</f>
        <v>1</v>
      </c>
      <c r="F37" s="60"/>
      <c r="G37" s="47">
        <f t="shared" ref="G37:H37" si="9">SUM(G38:G40)</f>
        <v>1</v>
      </c>
      <c r="H37" s="70">
        <f t="shared" si="9"/>
        <v>2</v>
      </c>
    </row>
    <row r="38" spans="1:20">
      <c r="A38" s="69" t="s">
        <v>285</v>
      </c>
      <c r="B38" s="71">
        <v>1</v>
      </c>
      <c r="C38" s="71"/>
      <c r="D38" s="72">
        <v>1559.45903918</v>
      </c>
      <c r="E38" s="55">
        <f>D38/$D$37</f>
        <v>7.394340805707221E-2</v>
      </c>
      <c r="F38" s="52" t="s">
        <v>340</v>
      </c>
      <c r="G38" s="56">
        <f>SUMIF($F$38:$F$40,F38,$E$38:$E$40)</f>
        <v>7.394340805707221E-2</v>
      </c>
      <c r="H38" s="57">
        <v>1</v>
      </c>
      <c r="J38" s="7" t="s">
        <v>67</v>
      </c>
      <c r="K38" s="7" t="s">
        <v>67</v>
      </c>
      <c r="L38" s="7" t="s">
        <v>71</v>
      </c>
      <c r="N38" s="7" t="s">
        <v>63</v>
      </c>
      <c r="O38" s="7" t="s">
        <v>63</v>
      </c>
      <c r="S38" s="42" t="s">
        <v>603</v>
      </c>
      <c r="T38" s="7" t="s">
        <v>612</v>
      </c>
    </row>
    <row r="39" spans="1:20">
      <c r="A39" s="76" t="s">
        <v>286</v>
      </c>
      <c r="B39" s="77">
        <v>2</v>
      </c>
      <c r="C39" s="77"/>
      <c r="D39" s="78">
        <v>10958.325500000001</v>
      </c>
      <c r="E39" s="79">
        <f>D39/$D$37</f>
        <v>0.51960065234851727</v>
      </c>
      <c r="F39" s="80" t="s">
        <v>470</v>
      </c>
      <c r="G39" s="1550">
        <f>SUMIF($F$38:$F$40,F39,$E$38:$E$40)</f>
        <v>0.92605659194292778</v>
      </c>
      <c r="H39" s="1551">
        <v>1</v>
      </c>
      <c r="J39" s="7" t="s">
        <v>67</v>
      </c>
      <c r="K39" s="7" t="s">
        <v>67</v>
      </c>
      <c r="M39" s="7" t="s">
        <v>71</v>
      </c>
      <c r="N39" s="7" t="s">
        <v>63</v>
      </c>
      <c r="O39" s="7" t="s">
        <v>63</v>
      </c>
      <c r="P39" s="7" t="s">
        <v>71</v>
      </c>
      <c r="Q39" s="7" t="s">
        <v>71</v>
      </c>
      <c r="R39" s="7" t="s">
        <v>115</v>
      </c>
      <c r="S39" s="42" t="s">
        <v>615</v>
      </c>
      <c r="T39" s="7" t="s">
        <v>618</v>
      </c>
    </row>
    <row r="40" spans="1:20">
      <c r="A40" s="69" t="s">
        <v>287</v>
      </c>
      <c r="B40" s="77">
        <v>3</v>
      </c>
      <c r="C40" s="77"/>
      <c r="D40" s="78">
        <v>8572.1148873700004</v>
      </c>
      <c r="E40" s="79">
        <f>D40/$D$37</f>
        <v>0.40645593959441051</v>
      </c>
      <c r="F40" s="80" t="s">
        <v>470</v>
      </c>
      <c r="G40" s="1550"/>
      <c r="H40" s="1551"/>
      <c r="J40" s="7" t="s">
        <v>67</v>
      </c>
      <c r="K40" s="7" t="s">
        <v>67</v>
      </c>
      <c r="M40" s="7" t="s">
        <v>71</v>
      </c>
      <c r="N40" s="7" t="s">
        <v>63</v>
      </c>
      <c r="O40" s="7" t="s">
        <v>63</v>
      </c>
      <c r="P40" s="7" t="s">
        <v>71</v>
      </c>
      <c r="Q40" s="7" t="s">
        <v>71</v>
      </c>
      <c r="R40" s="7" t="s">
        <v>115</v>
      </c>
      <c r="S40" s="42" t="s">
        <v>615</v>
      </c>
      <c r="T40" s="7" t="s">
        <v>618</v>
      </c>
    </row>
    <row r="41" spans="1:20">
      <c r="A41" s="1541" t="s">
        <v>619</v>
      </c>
      <c r="B41" s="1541"/>
      <c r="C41" s="1541"/>
      <c r="D41" s="58">
        <f>D42</f>
        <v>23967.619699999999</v>
      </c>
      <c r="E41" s="59">
        <f>E42</f>
        <v>1</v>
      </c>
      <c r="F41" s="60"/>
      <c r="G41" s="47">
        <f t="shared" ref="G41:H41" si="10">G42</f>
        <v>1</v>
      </c>
      <c r="H41" s="70">
        <f t="shared" si="10"/>
        <v>1</v>
      </c>
    </row>
    <row r="42" spans="1:20">
      <c r="A42" s="76" t="s">
        <v>286</v>
      </c>
      <c r="B42" s="77">
        <v>1</v>
      </c>
      <c r="C42" s="77"/>
      <c r="D42" s="78">
        <v>23967.619699999999</v>
      </c>
      <c r="E42" s="79">
        <f>D42/$D$41</f>
        <v>1</v>
      </c>
      <c r="F42" s="80" t="s">
        <v>470</v>
      </c>
      <c r="G42" s="81">
        <f>SUMIF($F$42:$F$42,F42,$E$42:$E$42)</f>
        <v>1</v>
      </c>
      <c r="H42" s="82">
        <v>1</v>
      </c>
      <c r="J42" s="7" t="s">
        <v>67</v>
      </c>
      <c r="K42" s="7" t="s">
        <v>67</v>
      </c>
      <c r="M42" s="7" t="s">
        <v>71</v>
      </c>
      <c r="N42" s="7" t="s">
        <v>63</v>
      </c>
      <c r="O42" s="7" t="s">
        <v>63</v>
      </c>
      <c r="P42" s="7" t="s">
        <v>71</v>
      </c>
      <c r="Q42" s="7" t="s">
        <v>71</v>
      </c>
      <c r="R42" s="7" t="s">
        <v>115</v>
      </c>
      <c r="S42" s="42" t="s">
        <v>603</v>
      </c>
      <c r="T42" s="7" t="s">
        <v>612</v>
      </c>
    </row>
    <row r="43" spans="1:20">
      <c r="A43" s="1541" t="s">
        <v>620</v>
      </c>
      <c r="B43" s="1541"/>
      <c r="C43" s="1541"/>
      <c r="D43" s="58">
        <f>D44</f>
        <v>14752.6990159</v>
      </c>
      <c r="E43" s="59">
        <f>E44</f>
        <v>1</v>
      </c>
      <c r="F43" s="60"/>
      <c r="G43" s="47">
        <f t="shared" ref="G43:H43" si="11">G44</f>
        <v>1</v>
      </c>
      <c r="H43" s="70">
        <f t="shared" si="11"/>
        <v>1</v>
      </c>
    </row>
    <row r="44" spans="1:20">
      <c r="A44" s="69" t="s">
        <v>288</v>
      </c>
      <c r="B44" s="83">
        <v>1</v>
      </c>
      <c r="C44" s="83"/>
      <c r="D44" s="84">
        <v>14752.6990159</v>
      </c>
      <c r="E44" s="85">
        <f>D44/$D$43</f>
        <v>1</v>
      </c>
      <c r="F44" s="86" t="s">
        <v>496</v>
      </c>
      <c r="G44" s="87">
        <f>SUMIF($F$44:$F$44,F44,$E$44:$E$44)</f>
        <v>1</v>
      </c>
      <c r="H44" s="88">
        <v>1</v>
      </c>
      <c r="J44" s="7" t="s">
        <v>67</v>
      </c>
      <c r="K44" s="7" t="s">
        <v>67</v>
      </c>
      <c r="M44" s="7" t="s">
        <v>71</v>
      </c>
      <c r="N44" s="7" t="s">
        <v>63</v>
      </c>
      <c r="O44" s="7" t="s">
        <v>63</v>
      </c>
      <c r="S44" s="42" t="s">
        <v>615</v>
      </c>
      <c r="T44" s="7" t="s">
        <v>612</v>
      </c>
    </row>
    <row r="45" spans="1:20">
      <c r="A45" s="14"/>
    </row>
    <row r="46" spans="1:20">
      <c r="A46" s="14"/>
    </row>
    <row r="47" spans="1:20">
      <c r="A47" s="14"/>
    </row>
  </sheetData>
  <mergeCells count="24">
    <mergeCell ref="G39:G40"/>
    <mergeCell ref="H39:H40"/>
    <mergeCell ref="G16:G19"/>
    <mergeCell ref="H16:H19"/>
    <mergeCell ref="A41:C41"/>
    <mergeCell ref="G33:G36"/>
    <mergeCell ref="H33:H36"/>
    <mergeCell ref="A43:C43"/>
    <mergeCell ref="A37:C37"/>
    <mergeCell ref="A32:C32"/>
    <mergeCell ref="A22:C22"/>
    <mergeCell ref="A15:C15"/>
    <mergeCell ref="A9:C9"/>
    <mergeCell ref="G10:G13"/>
    <mergeCell ref="H10:H13"/>
    <mergeCell ref="S2:T2"/>
    <mergeCell ref="A1:H2"/>
    <mergeCell ref="G7:G8"/>
    <mergeCell ref="H7:H8"/>
    <mergeCell ref="A6:C6"/>
    <mergeCell ref="N2:O2"/>
    <mergeCell ref="P2:R2"/>
    <mergeCell ref="P3:R3"/>
    <mergeCell ref="N1:R1"/>
  </mergeCells>
  <pageMargins left="0.7" right="0.7" top="0.75" bottom="0.75" header="0.3" footer="0.3"/>
  <pageSetup orientation="portrait" horizontalDpi="1200" verticalDpi="1200" r:id="rId1"/>
  <ignoredErrors>
    <ignoredError sqref="E42 G42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964BD-B959-4D63-BC0C-49A6EAAF1BA0}">
  <dimension ref="A1:AJ39"/>
  <sheetViews>
    <sheetView zoomScale="70" zoomScaleNormal="70" workbookViewId="0">
      <pane xSplit="10" ySplit="5" topLeftCell="K6" activePane="bottomRight" state="frozen"/>
      <selection pane="bottomRight" activeCell="D6" sqref="D6"/>
      <selection pane="bottomLeft" activeCell="A7" sqref="A7"/>
      <selection pane="topRight" activeCell="J1" sqref="J1"/>
    </sheetView>
  </sheetViews>
  <sheetFormatPr defaultColWidth="11.375" defaultRowHeight="13.9"/>
  <cols>
    <col min="1" max="1" width="13" style="107" bestFit="1" customWidth="1"/>
    <col min="2" max="2" width="13" style="107" customWidth="1"/>
    <col min="3" max="3" width="35.75" style="107" customWidth="1"/>
    <col min="4" max="4" width="13" style="107" customWidth="1"/>
    <col min="5" max="5" width="11.375" style="25"/>
    <col min="6" max="6" width="15.75" style="172" bestFit="1" customWidth="1"/>
    <col min="7" max="7" width="9" style="173" bestFit="1" customWidth="1"/>
    <col min="8" max="8" width="17" style="173" bestFit="1" customWidth="1"/>
    <col min="9" max="9" width="57.625" style="107" hidden="1" customWidth="1"/>
    <col min="10" max="10" width="12.625" style="25" customWidth="1"/>
    <col min="11" max="11" width="7" style="107" customWidth="1"/>
    <col min="12" max="12" width="13.25" style="25" customWidth="1"/>
    <col min="13" max="13" width="17" style="25" customWidth="1"/>
    <col min="14" max="14" width="18.875" style="25" customWidth="1"/>
    <col min="15" max="15" width="15.375" style="25" hidden="1" customWidth="1"/>
    <col min="16" max="16" width="13.75" style="25" bestFit="1" customWidth="1"/>
    <col min="17" max="17" width="8.25" style="169" customWidth="1"/>
    <col min="18" max="18" width="15.75" style="25" customWidth="1"/>
    <col min="19" max="19" width="15.125" style="174" customWidth="1"/>
    <col min="20" max="20" width="22.375" style="174" bestFit="1" customWidth="1"/>
    <col min="21" max="24" width="11.375" style="107"/>
    <col min="25" max="25" width="12.625" style="107" bestFit="1" customWidth="1"/>
    <col min="26" max="26" width="17.125" style="107" bestFit="1" customWidth="1"/>
    <col min="27" max="27" width="8.25" style="107" customWidth="1"/>
    <col min="28" max="28" width="11.625" style="107" bestFit="1" customWidth="1"/>
    <col min="29" max="31" width="19.125" style="107" customWidth="1"/>
    <col min="32" max="32" width="21" style="107" bestFit="1" customWidth="1"/>
    <col min="33" max="33" width="22.875" style="107" bestFit="1" customWidth="1"/>
    <col min="34" max="34" width="11.375" style="107"/>
    <col min="35" max="35" width="24.25" style="107" bestFit="1" customWidth="1"/>
    <col min="36" max="36" width="24.25" style="107" customWidth="1"/>
    <col min="37" max="16384" width="11.375" style="107"/>
  </cols>
  <sheetData>
    <row r="1" spans="1:36" ht="15" customHeight="1">
      <c r="A1" s="1552" t="s">
        <v>247</v>
      </c>
      <c r="B1" s="1552"/>
      <c r="C1" s="1552"/>
      <c r="D1" s="1552"/>
      <c r="E1" s="1552"/>
      <c r="F1" s="1552"/>
      <c r="G1" s="1552"/>
      <c r="H1" s="1552"/>
      <c r="I1" s="1552"/>
      <c r="J1" s="1552"/>
      <c r="K1" s="670"/>
      <c r="L1" s="1552" t="s">
        <v>621</v>
      </c>
      <c r="M1" s="1552"/>
      <c r="N1" s="1552" t="s">
        <v>586</v>
      </c>
      <c r="O1" s="1552"/>
      <c r="P1" s="1552" t="s">
        <v>587</v>
      </c>
      <c r="Q1" s="1552"/>
      <c r="R1" s="1552"/>
      <c r="S1" s="1552"/>
      <c r="T1" s="1552"/>
      <c r="U1" s="1552"/>
      <c r="V1" s="1552"/>
      <c r="W1" s="1552"/>
      <c r="X1" s="1552"/>
      <c r="Y1" s="1552"/>
      <c r="Z1" s="1552"/>
      <c r="AA1" s="1552"/>
      <c r="AB1" s="1552"/>
      <c r="AC1" s="1552"/>
      <c r="AD1" s="1552"/>
      <c r="AE1" s="1552"/>
      <c r="AF1" s="1552"/>
      <c r="AG1" s="1552"/>
      <c r="AH1" s="197"/>
      <c r="AI1" s="488" t="s">
        <v>622</v>
      </c>
      <c r="AJ1" s="1552" t="s">
        <v>623</v>
      </c>
    </row>
    <row r="2" spans="1:36" s="123" customFormat="1" ht="15" customHeight="1">
      <c r="A2" s="1552"/>
      <c r="B2" s="1552"/>
      <c r="C2" s="1552"/>
      <c r="D2" s="1552"/>
      <c r="E2" s="1552"/>
      <c r="F2" s="1552"/>
      <c r="G2" s="1552"/>
      <c r="H2" s="1552"/>
      <c r="I2" s="1552"/>
      <c r="J2" s="1552"/>
      <c r="K2" s="671"/>
      <c r="L2" s="1552"/>
      <c r="M2" s="1552"/>
      <c r="N2" s="488" t="s">
        <v>624</v>
      </c>
      <c r="O2" s="488" t="s">
        <v>596</v>
      </c>
      <c r="P2" s="1552" t="s">
        <v>597</v>
      </c>
      <c r="Q2" s="1552"/>
      <c r="R2" s="1552"/>
      <c r="S2" s="1552"/>
      <c r="T2" s="1552"/>
      <c r="U2" s="1552"/>
      <c r="V2" s="1552"/>
      <c r="W2" s="1552"/>
      <c r="X2" s="1552"/>
      <c r="Y2" s="1552"/>
      <c r="Z2" s="1552"/>
      <c r="AA2" s="1552"/>
      <c r="AB2" s="1552"/>
      <c r="AC2" s="1552"/>
      <c r="AD2" s="1552"/>
      <c r="AE2" s="1552"/>
      <c r="AF2" s="1552"/>
      <c r="AG2" s="1552"/>
      <c r="AH2" s="202"/>
      <c r="AI2" s="1552" t="s">
        <v>595</v>
      </c>
      <c r="AJ2" s="1552"/>
    </row>
    <row r="3" spans="1:36" s="123" customFormat="1" ht="57" customHeight="1">
      <c r="A3" s="671" t="s">
        <v>589</v>
      </c>
      <c r="B3" s="671" t="s">
        <v>625</v>
      </c>
      <c r="C3" s="671" t="s">
        <v>310</v>
      </c>
      <c r="D3" s="488" t="s">
        <v>247</v>
      </c>
      <c r="E3" s="488" t="s">
        <v>254</v>
      </c>
      <c r="F3" s="672" t="s">
        <v>542</v>
      </c>
      <c r="G3" s="673"/>
      <c r="H3" s="674" t="s">
        <v>260</v>
      </c>
      <c r="I3" s="671" t="s">
        <v>310</v>
      </c>
      <c r="J3" s="488" t="s">
        <v>626</v>
      </c>
      <c r="K3" s="671"/>
      <c r="L3" s="488" t="s">
        <v>627</v>
      </c>
      <c r="M3" s="488" t="s">
        <v>628</v>
      </c>
      <c r="N3" s="488" t="s">
        <v>603</v>
      </c>
      <c r="O3" s="488" t="s">
        <v>629</v>
      </c>
      <c r="P3" s="1552" t="s">
        <v>604</v>
      </c>
      <c r="Q3" s="1552"/>
      <c r="R3" s="1552"/>
      <c r="S3" s="1552"/>
      <c r="T3" s="1552"/>
      <c r="U3" s="1552" t="s">
        <v>211</v>
      </c>
      <c r="V3" s="1552"/>
      <c r="W3" s="1552"/>
      <c r="X3" s="1552"/>
      <c r="Y3" s="1552"/>
      <c r="Z3" s="1552"/>
      <c r="AA3" s="1552" t="s">
        <v>605</v>
      </c>
      <c r="AB3" s="1552"/>
      <c r="AC3" s="1552"/>
      <c r="AD3" s="1552"/>
      <c r="AE3" s="1552"/>
      <c r="AF3" s="1552"/>
      <c r="AG3" s="488" t="s">
        <v>630</v>
      </c>
      <c r="AH3" s="202"/>
      <c r="AI3" s="1552"/>
      <c r="AJ3" s="1552"/>
    </row>
    <row r="4" spans="1:36" s="170" customFormat="1" ht="26.45">
      <c r="A4" s="259"/>
      <c r="B4" s="259"/>
      <c r="C4" s="259"/>
      <c r="D4" s="259"/>
      <c r="E4" s="675" t="s">
        <v>557</v>
      </c>
      <c r="F4" s="676" t="s">
        <v>164</v>
      </c>
      <c r="G4" s="677" t="s">
        <v>220</v>
      </c>
      <c r="H4" s="677"/>
      <c r="I4" s="675" t="s">
        <v>558</v>
      </c>
      <c r="J4" s="675"/>
      <c r="K4" s="259"/>
      <c r="L4" s="675"/>
      <c r="M4" s="675"/>
      <c r="N4" s="259"/>
      <c r="O4" s="259"/>
      <c r="P4" s="259"/>
      <c r="Q4" s="678" t="s">
        <v>209</v>
      </c>
      <c r="R4" s="675" t="s">
        <v>631</v>
      </c>
      <c r="S4" s="679" t="s">
        <v>632</v>
      </c>
      <c r="T4" s="679" t="s">
        <v>633</v>
      </c>
      <c r="U4" s="259"/>
      <c r="V4" s="259" t="s">
        <v>591</v>
      </c>
      <c r="W4" s="675" t="s">
        <v>634</v>
      </c>
      <c r="X4" s="675" t="s">
        <v>635</v>
      </c>
      <c r="Y4" s="675" t="s">
        <v>636</v>
      </c>
      <c r="Z4" s="680" t="s">
        <v>637</v>
      </c>
      <c r="AA4" s="259"/>
      <c r="AB4" s="259" t="s">
        <v>638</v>
      </c>
      <c r="AC4" s="675" t="s">
        <v>639</v>
      </c>
      <c r="AD4" s="675" t="s">
        <v>640</v>
      </c>
      <c r="AE4" s="675" t="s">
        <v>641</v>
      </c>
      <c r="AF4" s="680" t="s">
        <v>642</v>
      </c>
      <c r="AG4" s="259"/>
      <c r="AH4" s="259"/>
      <c r="AI4" s="259"/>
      <c r="AJ4" s="259"/>
    </row>
    <row r="5" spans="1:36">
      <c r="A5" s="197"/>
      <c r="B5" s="197"/>
      <c r="C5" s="197"/>
      <c r="D5" s="197"/>
      <c r="E5" s="681" t="s">
        <v>606</v>
      </c>
      <c r="F5" s="682">
        <f>SUM(F6:F36)</f>
        <v>164776.711307171</v>
      </c>
      <c r="G5" s="683"/>
      <c r="H5" s="682">
        <f>SUM(H6:H36)</f>
        <v>308974.12999999989</v>
      </c>
      <c r="I5" s="197"/>
      <c r="J5" s="195"/>
      <c r="K5" s="197"/>
      <c r="L5" s="195"/>
      <c r="M5" s="195"/>
      <c r="N5" s="195"/>
      <c r="O5" s="195"/>
      <c r="P5" s="195"/>
      <c r="Q5" s="514"/>
      <c r="R5" s="682">
        <f>SUM(R6:R36)</f>
        <v>36060.399999999994</v>
      </c>
      <c r="S5" s="684"/>
      <c r="T5" s="685">
        <f>SUM(T6:T36)</f>
        <v>11360863587.499437</v>
      </c>
      <c r="U5" s="197"/>
      <c r="V5" s="197"/>
      <c r="W5" s="197"/>
      <c r="X5" s="197"/>
      <c r="Y5" s="197"/>
      <c r="Z5" s="260">
        <f>SUM(Z6:Z36)</f>
        <v>14591833.872</v>
      </c>
      <c r="AA5" s="197"/>
      <c r="AB5" s="197"/>
      <c r="AC5" s="197"/>
      <c r="AD5" s="197"/>
      <c r="AE5" s="197"/>
      <c r="AF5" s="686">
        <f>SUM(AF6:AF36)</f>
        <v>1532142556.5600002</v>
      </c>
      <c r="AG5" s="260">
        <f>SUM(AG6:AG36)</f>
        <v>12907597977.931437</v>
      </c>
      <c r="AH5" s="197"/>
      <c r="AI5" s="260">
        <f>SUM(AI6:AI36)</f>
        <v>582485674470.84949</v>
      </c>
      <c r="AJ5" s="260">
        <f>SUM(AJ6:AJ36)</f>
        <v>595393272448.78088</v>
      </c>
    </row>
    <row r="6" spans="1:36" s="175" customFormat="1">
      <c r="A6" s="687" t="s">
        <v>264</v>
      </c>
      <c r="B6" s="687" t="s">
        <v>643</v>
      </c>
      <c r="C6" s="688" t="str">
        <f>'04a_PROPUESTA_MO'!L9</f>
        <v>GASEOSAS LUX S.A</v>
      </c>
      <c r="D6" s="687" t="s">
        <v>644</v>
      </c>
      <c r="E6" s="689">
        <v>1</v>
      </c>
      <c r="F6" s="690">
        <v>16461.200400000002</v>
      </c>
      <c r="G6" s="691">
        <f>F6/$F$5</f>
        <v>9.9900042120112498E-2</v>
      </c>
      <c r="H6" s="692">
        <f>'04a_PROPUESTA_MO'!I9</f>
        <v>43867.5</v>
      </c>
      <c r="I6" s="693" t="s">
        <v>349</v>
      </c>
      <c r="J6" s="689">
        <v>1</v>
      </c>
      <c r="K6" s="693"/>
      <c r="L6" s="689" t="s">
        <v>71</v>
      </c>
      <c r="M6" s="689" t="s">
        <v>67</v>
      </c>
      <c r="N6" s="689" t="str">
        <f>IF(L6="x","x","-")</f>
        <v>x</v>
      </c>
      <c r="O6" s="689" t="str">
        <f>IF(L6="x","x","-")</f>
        <v>x</v>
      </c>
      <c r="P6" s="689" t="str">
        <f>IF(M6="x","x","-")</f>
        <v>-</v>
      </c>
      <c r="Q6" s="694" t="str">
        <f>IF(P6="x",'00_DATOS_PMoradores'!$B$9,"-")</f>
        <v>-</v>
      </c>
      <c r="R6" s="689" t="str">
        <f>IF(P6="x",H6,"-")</f>
        <v>-</v>
      </c>
      <c r="S6" s="695" t="str">
        <f>IF(M6="X",'00_DATOS_PMoradores'!$D$4,"-")</f>
        <v>-</v>
      </c>
      <c r="T6" s="695">
        <f>PRODUCT(Q6:S6)</f>
        <v>0</v>
      </c>
      <c r="U6" s="689" t="str">
        <f t="shared" ref="U6:U36" si="0">IF(M6="x","x","-")</f>
        <v>-</v>
      </c>
      <c r="V6" s="689">
        <f>J6</f>
        <v>1</v>
      </c>
      <c r="W6" s="689" t="str">
        <f>IF(U6="x",'00_DATOS_PMoradores'!$B$11,"-")</f>
        <v>-</v>
      </c>
      <c r="X6" s="689" t="str">
        <f>IFERROR(V6*W6,"-")</f>
        <v>-</v>
      </c>
      <c r="Y6" s="695" t="str">
        <f>IF(U6="x",'00_DATOS_PMoradores'!$D$5,"-")</f>
        <v>-</v>
      </c>
      <c r="Z6" s="695" t="str">
        <f>IFERROR(X6*Y6,"-")</f>
        <v>-</v>
      </c>
      <c r="AA6" s="689" t="str">
        <f t="shared" ref="AA6:AA36" si="1">IF(M6="x","x","-")</f>
        <v>-</v>
      </c>
      <c r="AB6" s="689">
        <f>J6</f>
        <v>1</v>
      </c>
      <c r="AC6" s="689" t="str">
        <f>IF(AA6="x",'00_DATOS_PMoradores'!$B$10,"-")</f>
        <v>-</v>
      </c>
      <c r="AD6" s="689" t="str">
        <f>IF(AA6="x",AB6*AC6,"-")</f>
        <v>-</v>
      </c>
      <c r="AE6" s="695" t="str">
        <f>IF(AA6="x",'00_DATOS_PMoradores'!$D$7,"-")</f>
        <v>-</v>
      </c>
      <c r="AF6" s="695" t="str">
        <f>IFERROR(AD6*AE6,"-")</f>
        <v>-</v>
      </c>
      <c r="AG6" s="696">
        <f>SUM(T6,Z6,AF6)</f>
        <v>0</v>
      </c>
      <c r="AH6" s="693"/>
      <c r="AI6" s="697">
        <f>'00_Lote_CNT_Existente'!F7</f>
        <v>58190343414.000008</v>
      </c>
      <c r="AJ6" s="261">
        <f>AG6+AI6</f>
        <v>58190343414.000008</v>
      </c>
    </row>
    <row r="7" spans="1:36" s="175" customFormat="1">
      <c r="A7" s="687" t="s">
        <v>265</v>
      </c>
      <c r="B7" s="687" t="s">
        <v>645</v>
      </c>
      <c r="C7" s="688" t="str">
        <f>'04a_PROPUESTA_MO'!L10</f>
        <v>GASEOSAS LUX S.A</v>
      </c>
      <c r="D7" s="687" t="s">
        <v>644</v>
      </c>
      <c r="E7" s="689">
        <v>2</v>
      </c>
      <c r="F7" s="690">
        <v>807.04813473599995</v>
      </c>
      <c r="G7" s="691">
        <f t="shared" ref="G7:G36" si="2">F7/$F$5</f>
        <v>4.897828876020768E-3</v>
      </c>
      <c r="H7" s="692">
        <f>'04a_PROPUESTA_MO'!I10</f>
        <v>811</v>
      </c>
      <c r="I7" s="693" t="s">
        <v>349</v>
      </c>
      <c r="J7" s="689">
        <v>1</v>
      </c>
      <c r="K7" s="693"/>
      <c r="L7" s="689" t="s">
        <v>71</v>
      </c>
      <c r="M7" s="689" t="s">
        <v>67</v>
      </c>
      <c r="N7" s="689" t="str">
        <f t="shared" ref="N7:N36" si="3">IF(L7="x","x","-")</f>
        <v>x</v>
      </c>
      <c r="O7" s="689" t="str">
        <f t="shared" ref="O7:O36" si="4">IF(L7="x","x","-")</f>
        <v>x</v>
      </c>
      <c r="P7" s="689" t="str">
        <f t="shared" ref="P7:P36" si="5">IF(M7="x","x","-")</f>
        <v>-</v>
      </c>
      <c r="Q7" s="694" t="str">
        <f>IF(P7="x",'00_DATOS_PMoradores'!$B$9,"-")</f>
        <v>-</v>
      </c>
      <c r="R7" s="689" t="str">
        <f t="shared" ref="R7:R36" si="6">IF(P7="x",H7,"-")</f>
        <v>-</v>
      </c>
      <c r="S7" s="695" t="str">
        <f>IF(M7="X",'00_DATOS_PMoradores'!$D$4,"-")</f>
        <v>-</v>
      </c>
      <c r="T7" s="695">
        <f t="shared" ref="T7:T36" si="7">PRODUCT(Q7:S7)</f>
        <v>0</v>
      </c>
      <c r="U7" s="689" t="str">
        <f t="shared" si="0"/>
        <v>-</v>
      </c>
      <c r="V7" s="689">
        <f t="shared" ref="V7:V36" si="8">J7</f>
        <v>1</v>
      </c>
      <c r="W7" s="689" t="str">
        <f>IF(U7="x",'00_DATOS_PMoradores'!$B$11,"-")</f>
        <v>-</v>
      </c>
      <c r="X7" s="689" t="str">
        <f t="shared" ref="X7:X36" si="9">IFERROR(V7*W7,"-")</f>
        <v>-</v>
      </c>
      <c r="Y7" s="695" t="str">
        <f>IF(U7="x",'00_DATOS_PMoradores'!$D$5,"-")</f>
        <v>-</v>
      </c>
      <c r="Z7" s="695" t="str">
        <f t="shared" ref="Z7:Z36" si="10">IFERROR(X7*Y7,"-")</f>
        <v>-</v>
      </c>
      <c r="AA7" s="689" t="str">
        <f t="shared" si="1"/>
        <v>-</v>
      </c>
      <c r="AB7" s="689">
        <f t="shared" ref="AB7:AB36" si="11">J7</f>
        <v>1</v>
      </c>
      <c r="AC7" s="689" t="str">
        <f>IF(AA7="x",'00_DATOS_PMoradores'!$B$10,"-")</f>
        <v>-</v>
      </c>
      <c r="AD7" s="689" t="str">
        <f t="shared" ref="AD7:AD36" si="12">IF(AA7="x",AB7*AC7,"-")</f>
        <v>-</v>
      </c>
      <c r="AE7" s="695" t="str">
        <f>IF(AA7="x",'00_DATOS_PMoradores'!$D$7,"-")</f>
        <v>-</v>
      </c>
      <c r="AF7" s="695" t="str">
        <f t="shared" ref="AF7:AF36" si="13">IFERROR(AD7*AE7,"-")</f>
        <v>-</v>
      </c>
      <c r="AG7" s="696">
        <f t="shared" ref="AG7:AG36" si="14">SUM(T7,Z7,AF7)</f>
        <v>0</v>
      </c>
      <c r="AH7" s="693"/>
      <c r="AI7" s="697">
        <f>'00_Lote_CNT_Existente'!F8</f>
        <v>2852915156.29176</v>
      </c>
      <c r="AJ7" s="261">
        <f t="shared" ref="AJ7:AJ36" si="15">AG7+AI7</f>
        <v>2852915156.29176</v>
      </c>
    </row>
    <row r="8" spans="1:36">
      <c r="A8" s="698" t="s">
        <v>266</v>
      </c>
      <c r="B8" s="698" t="s">
        <v>646</v>
      </c>
      <c r="C8" s="699" t="str">
        <f>'04a_PROPUESTA_MO'!L11</f>
        <v>GASEOSAS LUX S.A</v>
      </c>
      <c r="D8" s="698" t="s">
        <v>647</v>
      </c>
      <c r="E8" s="195">
        <v>1</v>
      </c>
      <c r="F8" s="700">
        <v>811.64101487899995</v>
      </c>
      <c r="G8" s="683">
        <f t="shared" si="2"/>
        <v>4.9257022332844539E-3</v>
      </c>
      <c r="H8" s="701">
        <f>'04a_PROPUESTA_MO'!I11</f>
        <v>811.9</v>
      </c>
      <c r="I8" s="197" t="s">
        <v>349</v>
      </c>
      <c r="J8" s="195">
        <v>1</v>
      </c>
      <c r="K8" s="197"/>
      <c r="L8" s="195" t="s">
        <v>71</v>
      </c>
      <c r="M8" s="195" t="s">
        <v>67</v>
      </c>
      <c r="N8" s="195" t="str">
        <f t="shared" si="3"/>
        <v>x</v>
      </c>
      <c r="O8" s="195" t="str">
        <f t="shared" si="4"/>
        <v>x</v>
      </c>
      <c r="P8" s="195" t="str">
        <f t="shared" si="5"/>
        <v>-</v>
      </c>
      <c r="Q8" s="514" t="str">
        <f>IF(P8="x",'00_DATOS_PMoradores'!$B$9,"-")</f>
        <v>-</v>
      </c>
      <c r="R8" s="195" t="str">
        <f t="shared" si="6"/>
        <v>-</v>
      </c>
      <c r="S8" s="684" t="str">
        <f>IF(M8="X",'00_DATOS_PMoradores'!$D$4,"-")</f>
        <v>-</v>
      </c>
      <c r="T8" s="684">
        <f t="shared" si="7"/>
        <v>0</v>
      </c>
      <c r="U8" s="195" t="str">
        <f t="shared" si="0"/>
        <v>-</v>
      </c>
      <c r="V8" s="195">
        <f t="shared" si="8"/>
        <v>1</v>
      </c>
      <c r="W8" s="195" t="str">
        <f>IF(U8="x",'00_DATOS_PMoradores'!$B$11,"-")</f>
        <v>-</v>
      </c>
      <c r="X8" s="195" t="str">
        <f t="shared" si="9"/>
        <v>-</v>
      </c>
      <c r="Y8" s="684" t="str">
        <f>IF(U8="x",'00_DATOS_PMoradores'!$D$5,"-")</f>
        <v>-</v>
      </c>
      <c r="Z8" s="684" t="str">
        <f t="shared" si="10"/>
        <v>-</v>
      </c>
      <c r="AA8" s="195" t="str">
        <f t="shared" si="1"/>
        <v>-</v>
      </c>
      <c r="AB8" s="195">
        <f t="shared" si="11"/>
        <v>1</v>
      </c>
      <c r="AC8" s="195" t="str">
        <f>IF(AA8="x",'00_DATOS_PMoradores'!$B$10,"-")</f>
        <v>-</v>
      </c>
      <c r="AD8" s="195" t="str">
        <f t="shared" si="12"/>
        <v>-</v>
      </c>
      <c r="AE8" s="684" t="str">
        <f>IF(AA8="x",'00_DATOS_PMoradores'!$D$7,"-")</f>
        <v>-</v>
      </c>
      <c r="AF8" s="684" t="str">
        <f t="shared" si="13"/>
        <v>-</v>
      </c>
      <c r="AG8" s="487">
        <f t="shared" si="14"/>
        <v>0</v>
      </c>
      <c r="AH8" s="197"/>
      <c r="AI8" s="322">
        <f>'00_Lote_CNT_Existente'!F9</f>
        <v>2869150987.5972648</v>
      </c>
      <c r="AJ8" s="201">
        <f t="shared" si="15"/>
        <v>2869150987.5972648</v>
      </c>
    </row>
    <row r="9" spans="1:36">
      <c r="A9" s="698" t="s">
        <v>264</v>
      </c>
      <c r="B9" s="698" t="s">
        <v>643</v>
      </c>
      <c r="C9" s="699" t="str">
        <f>'04a_PROPUESTA_MO'!L12</f>
        <v>GASEOSAS LUX S.A</v>
      </c>
      <c r="D9" s="698" t="s">
        <v>647</v>
      </c>
      <c r="E9" s="195">
        <v>2</v>
      </c>
      <c r="F9" s="700">
        <v>12352.429099999999</v>
      </c>
      <c r="G9" s="683">
        <f t="shared" si="2"/>
        <v>7.4964653694131758E-2</v>
      </c>
      <c r="H9" s="701">
        <f>'04a_PROPUESTA_MO'!I12</f>
        <v>43867.5</v>
      </c>
      <c r="I9" s="197" t="s">
        <v>349</v>
      </c>
      <c r="J9" s="195">
        <v>1</v>
      </c>
      <c r="K9" s="197"/>
      <c r="L9" s="195" t="s">
        <v>71</v>
      </c>
      <c r="M9" s="195" t="s">
        <v>67</v>
      </c>
      <c r="N9" s="195" t="str">
        <f t="shared" si="3"/>
        <v>x</v>
      </c>
      <c r="O9" s="195" t="str">
        <f t="shared" si="4"/>
        <v>x</v>
      </c>
      <c r="P9" s="195" t="str">
        <f t="shared" si="5"/>
        <v>-</v>
      </c>
      <c r="Q9" s="514" t="str">
        <f>IF(P9="x",'00_DATOS_PMoradores'!$B$9,"-")</f>
        <v>-</v>
      </c>
      <c r="R9" s="195" t="str">
        <f t="shared" si="6"/>
        <v>-</v>
      </c>
      <c r="S9" s="684" t="str">
        <f>IF(M9="X",'00_DATOS_PMoradores'!$D$4,"-")</f>
        <v>-</v>
      </c>
      <c r="T9" s="684">
        <f t="shared" si="7"/>
        <v>0</v>
      </c>
      <c r="U9" s="195" t="str">
        <f t="shared" si="0"/>
        <v>-</v>
      </c>
      <c r="V9" s="195">
        <f t="shared" si="8"/>
        <v>1</v>
      </c>
      <c r="W9" s="195" t="str">
        <f>IF(U9="x",'00_DATOS_PMoradores'!$B$11,"-")</f>
        <v>-</v>
      </c>
      <c r="X9" s="195" t="str">
        <f t="shared" si="9"/>
        <v>-</v>
      </c>
      <c r="Y9" s="684" t="str">
        <f>IF(U9="x",'00_DATOS_PMoradores'!$D$5,"-")</f>
        <v>-</v>
      </c>
      <c r="Z9" s="684" t="str">
        <f t="shared" si="10"/>
        <v>-</v>
      </c>
      <c r="AA9" s="195" t="str">
        <f t="shared" si="1"/>
        <v>-</v>
      </c>
      <c r="AB9" s="195">
        <f t="shared" si="11"/>
        <v>1</v>
      </c>
      <c r="AC9" s="195" t="str">
        <f>IF(AA9="x",'00_DATOS_PMoradores'!$B$10,"-")</f>
        <v>-</v>
      </c>
      <c r="AD9" s="195" t="str">
        <f t="shared" si="12"/>
        <v>-</v>
      </c>
      <c r="AE9" s="684" t="str">
        <f>IF(AA9="x",'00_DATOS_PMoradores'!$D$7,"-")</f>
        <v>-</v>
      </c>
      <c r="AF9" s="684" t="str">
        <f t="shared" si="13"/>
        <v>-</v>
      </c>
      <c r="AG9" s="487">
        <f t="shared" si="14"/>
        <v>0</v>
      </c>
      <c r="AH9" s="197"/>
      <c r="AI9" s="322">
        <f>'00_Lote_CNT_Existente'!F10</f>
        <v>43665836868.5</v>
      </c>
      <c r="AJ9" s="201">
        <f t="shared" si="15"/>
        <v>43665836868.5</v>
      </c>
    </row>
    <row r="10" spans="1:36">
      <c r="A10" s="698" t="s">
        <v>267</v>
      </c>
      <c r="B10" s="698" t="s">
        <v>648</v>
      </c>
      <c r="C10" s="699" t="str">
        <f>'04a_PROPUESTA_MO'!L13</f>
        <v>GASEOSAS LUX S.A</v>
      </c>
      <c r="D10" s="698" t="s">
        <v>647</v>
      </c>
      <c r="E10" s="195">
        <v>3</v>
      </c>
      <c r="F10" s="700">
        <v>812.16271328100004</v>
      </c>
      <c r="G10" s="683">
        <f t="shared" si="2"/>
        <v>4.928868326343731E-3</v>
      </c>
      <c r="H10" s="701">
        <f>'04a_PROPUESTA_MO'!I13</f>
        <v>812.2</v>
      </c>
      <c r="I10" s="197" t="s">
        <v>349</v>
      </c>
      <c r="J10" s="195">
        <v>1</v>
      </c>
      <c r="K10" s="197"/>
      <c r="L10" s="195" t="s">
        <v>71</v>
      </c>
      <c r="M10" s="195" t="s">
        <v>67</v>
      </c>
      <c r="N10" s="195" t="str">
        <f t="shared" si="3"/>
        <v>x</v>
      </c>
      <c r="O10" s="195" t="str">
        <f t="shared" si="4"/>
        <v>x</v>
      </c>
      <c r="P10" s="195" t="str">
        <f t="shared" si="5"/>
        <v>-</v>
      </c>
      <c r="Q10" s="514" t="str">
        <f>IF(P10="x",'00_DATOS_PMoradores'!$B$9,"-")</f>
        <v>-</v>
      </c>
      <c r="R10" s="195" t="str">
        <f t="shared" si="6"/>
        <v>-</v>
      </c>
      <c r="S10" s="684" t="str">
        <f>IF(M10="X",'00_DATOS_PMoradores'!$D$4,"-")</f>
        <v>-</v>
      </c>
      <c r="T10" s="684">
        <f t="shared" si="7"/>
        <v>0</v>
      </c>
      <c r="U10" s="195" t="str">
        <f t="shared" si="0"/>
        <v>-</v>
      </c>
      <c r="V10" s="195">
        <f t="shared" si="8"/>
        <v>1</v>
      </c>
      <c r="W10" s="195" t="str">
        <f>IF(U10="x",'00_DATOS_PMoradores'!$B$11,"-")</f>
        <v>-</v>
      </c>
      <c r="X10" s="195" t="str">
        <f t="shared" si="9"/>
        <v>-</v>
      </c>
      <c r="Y10" s="684" t="str">
        <f>IF(U10="x",'00_DATOS_PMoradores'!$D$5,"-")</f>
        <v>-</v>
      </c>
      <c r="Z10" s="684" t="str">
        <f t="shared" si="10"/>
        <v>-</v>
      </c>
      <c r="AA10" s="195" t="str">
        <f t="shared" si="1"/>
        <v>-</v>
      </c>
      <c r="AB10" s="195">
        <f t="shared" si="11"/>
        <v>1</v>
      </c>
      <c r="AC10" s="195" t="str">
        <f>IF(AA10="x",'00_DATOS_PMoradores'!$B$10,"-")</f>
        <v>-</v>
      </c>
      <c r="AD10" s="195" t="str">
        <f t="shared" si="12"/>
        <v>-</v>
      </c>
      <c r="AE10" s="684" t="str">
        <f>IF(AA10="x",'00_DATOS_PMoradores'!$D$7,"-")</f>
        <v>-</v>
      </c>
      <c r="AF10" s="684" t="str">
        <f t="shared" si="13"/>
        <v>-</v>
      </c>
      <c r="AG10" s="487">
        <f t="shared" si="14"/>
        <v>0</v>
      </c>
      <c r="AH10" s="197"/>
      <c r="AI10" s="322">
        <f>'00_Lote_CNT_Existente'!F11</f>
        <v>2870995191.4483352</v>
      </c>
      <c r="AJ10" s="201">
        <f t="shared" si="15"/>
        <v>2870995191.4483352</v>
      </c>
    </row>
    <row r="11" spans="1:36">
      <c r="A11" s="698" t="s">
        <v>268</v>
      </c>
      <c r="B11" s="698" t="s">
        <v>649</v>
      </c>
      <c r="C11" s="699" t="str">
        <f>'04a_PROPUESTA_MO'!L14</f>
        <v>GASEOSAS LUX S.A</v>
      </c>
      <c r="D11" s="698" t="s">
        <v>647</v>
      </c>
      <c r="E11" s="195">
        <v>4</v>
      </c>
      <c r="F11" s="700">
        <v>813.94624626899997</v>
      </c>
      <c r="G11" s="683">
        <f t="shared" si="2"/>
        <v>4.939692264835106E-3</v>
      </c>
      <c r="H11" s="701">
        <f>'04a_PROPUESTA_MO'!I14</f>
        <v>575</v>
      </c>
      <c r="I11" s="197" t="s">
        <v>349</v>
      </c>
      <c r="J11" s="195">
        <v>1</v>
      </c>
      <c r="K11" s="197"/>
      <c r="L11" s="195" t="s">
        <v>71</v>
      </c>
      <c r="M11" s="195" t="s">
        <v>67</v>
      </c>
      <c r="N11" s="195" t="str">
        <f t="shared" si="3"/>
        <v>x</v>
      </c>
      <c r="O11" s="195" t="str">
        <f t="shared" si="4"/>
        <v>x</v>
      </c>
      <c r="P11" s="195" t="str">
        <f t="shared" si="5"/>
        <v>-</v>
      </c>
      <c r="Q11" s="514" t="str">
        <f>IF(P11="x",'00_DATOS_PMoradores'!$B$9,"-")</f>
        <v>-</v>
      </c>
      <c r="R11" s="195" t="str">
        <f t="shared" si="6"/>
        <v>-</v>
      </c>
      <c r="S11" s="684" t="str">
        <f>IF(M11="X",'00_DATOS_PMoradores'!$D$4,"-")</f>
        <v>-</v>
      </c>
      <c r="T11" s="684">
        <f t="shared" si="7"/>
        <v>0</v>
      </c>
      <c r="U11" s="195" t="str">
        <f t="shared" si="0"/>
        <v>-</v>
      </c>
      <c r="V11" s="195">
        <f t="shared" si="8"/>
        <v>1</v>
      </c>
      <c r="W11" s="195" t="str">
        <f>IF(U11="x",'00_DATOS_PMoradores'!$B$11,"-")</f>
        <v>-</v>
      </c>
      <c r="X11" s="195" t="str">
        <f t="shared" si="9"/>
        <v>-</v>
      </c>
      <c r="Y11" s="684" t="str">
        <f>IF(U11="x",'00_DATOS_PMoradores'!$D$5,"-")</f>
        <v>-</v>
      </c>
      <c r="Z11" s="684" t="str">
        <f t="shared" si="10"/>
        <v>-</v>
      </c>
      <c r="AA11" s="195" t="str">
        <f t="shared" si="1"/>
        <v>-</v>
      </c>
      <c r="AB11" s="195">
        <f t="shared" si="11"/>
        <v>1</v>
      </c>
      <c r="AC11" s="195" t="str">
        <f>IF(AA11="x",'00_DATOS_PMoradores'!$B$10,"-")</f>
        <v>-</v>
      </c>
      <c r="AD11" s="195" t="str">
        <f t="shared" si="12"/>
        <v>-</v>
      </c>
      <c r="AE11" s="684" t="str">
        <f>IF(AA11="x",'00_DATOS_PMoradores'!$D$7,"-")</f>
        <v>-</v>
      </c>
      <c r="AF11" s="684" t="str">
        <f t="shared" si="13"/>
        <v>-</v>
      </c>
      <c r="AG11" s="487">
        <f t="shared" si="14"/>
        <v>0</v>
      </c>
      <c r="AH11" s="197"/>
      <c r="AI11" s="322">
        <f>'00_Lote_CNT_Existente'!F12</f>
        <v>2877299980.560915</v>
      </c>
      <c r="AJ11" s="201">
        <f t="shared" si="15"/>
        <v>2877299980.560915</v>
      </c>
    </row>
    <row r="12" spans="1:36">
      <c r="A12" s="698" t="s">
        <v>269</v>
      </c>
      <c r="B12" s="698" t="s">
        <v>650</v>
      </c>
      <c r="C12" s="699" t="str">
        <f>'04a_PROPUESTA_MO'!L15</f>
        <v>INDUSTRIAS MIWAL LIMITADA</v>
      </c>
      <c r="D12" s="698" t="s">
        <v>647</v>
      </c>
      <c r="E12" s="195">
        <v>5</v>
      </c>
      <c r="F12" s="700">
        <v>812.35243710700001</v>
      </c>
      <c r="G12" s="683">
        <f t="shared" si="2"/>
        <v>4.9300197258618722E-3</v>
      </c>
      <c r="H12" s="701">
        <f>'04a_PROPUESTA_MO'!I15</f>
        <v>1024.7</v>
      </c>
      <c r="I12" s="197" t="s">
        <v>417</v>
      </c>
      <c r="J12" s="195">
        <v>1</v>
      </c>
      <c r="K12" s="197"/>
      <c r="L12" s="195" t="s">
        <v>71</v>
      </c>
      <c r="M12" s="195" t="s">
        <v>71</v>
      </c>
      <c r="N12" s="195" t="str">
        <f t="shared" si="3"/>
        <v>x</v>
      </c>
      <c r="O12" s="195" t="str">
        <f t="shared" si="4"/>
        <v>x</v>
      </c>
      <c r="P12" s="195" t="str">
        <f t="shared" si="5"/>
        <v>x</v>
      </c>
      <c r="Q12" s="514">
        <f>IF(P12="x",'00_DATOS_PMoradores'!$B$9,"-")</f>
        <v>3</v>
      </c>
      <c r="R12" s="195">
        <f t="shared" si="6"/>
        <v>1024.7</v>
      </c>
      <c r="S12" s="684">
        <f>IF(M12="X",'00_DATOS_PMoradores'!$D$4,"-")</f>
        <v>105016.9862</v>
      </c>
      <c r="T12" s="684">
        <f t="shared" si="7"/>
        <v>322832717.27742004</v>
      </c>
      <c r="U12" s="195" t="str">
        <f t="shared" si="0"/>
        <v>x</v>
      </c>
      <c r="V12" s="195">
        <f t="shared" si="8"/>
        <v>1</v>
      </c>
      <c r="W12" s="195">
        <f>IF(U12="x",'00_DATOS_PMoradores'!$B$11,"-")</f>
        <v>2</v>
      </c>
      <c r="X12" s="195">
        <f t="shared" si="9"/>
        <v>2</v>
      </c>
      <c r="Y12" s="684">
        <f>IF(U12="x",'00_DATOS_PMoradores'!$D$5,"-")</f>
        <v>663265.17599999998</v>
      </c>
      <c r="Z12" s="684">
        <f t="shared" si="10"/>
        <v>1326530.352</v>
      </c>
      <c r="AA12" s="195" t="str">
        <f t="shared" si="1"/>
        <v>x</v>
      </c>
      <c r="AB12" s="195">
        <f t="shared" si="11"/>
        <v>1</v>
      </c>
      <c r="AC12" s="195">
        <f>IF(AA12="x",'00_DATOS_PMoradores'!$B$10,"-")</f>
        <v>18</v>
      </c>
      <c r="AD12" s="195">
        <f t="shared" si="12"/>
        <v>18</v>
      </c>
      <c r="AE12" s="684">
        <f>IF(AA12="x",'00_DATOS_PMoradores'!$D$7,"-")</f>
        <v>7738093.7199999997</v>
      </c>
      <c r="AF12" s="684">
        <f t="shared" si="13"/>
        <v>139285686.96000001</v>
      </c>
      <c r="AG12" s="487">
        <f t="shared" si="14"/>
        <v>463444934.58942008</v>
      </c>
      <c r="AH12" s="197"/>
      <c r="AI12" s="322">
        <f>'00_Lote_CNT_Existente'!F13</f>
        <v>2871665865.173245</v>
      </c>
      <c r="AJ12" s="201">
        <f t="shared" si="15"/>
        <v>3335110799.7626648</v>
      </c>
    </row>
    <row r="13" spans="1:36">
      <c r="A13" s="698" t="s">
        <v>270</v>
      </c>
      <c r="B13" s="698" t="s">
        <v>651</v>
      </c>
      <c r="C13" s="699" t="str">
        <f>'04a_PROPUESTA_MO'!L16</f>
        <v>GASEOSAS LUX S.A</v>
      </c>
      <c r="D13" s="698" t="s">
        <v>652</v>
      </c>
      <c r="E13" s="195">
        <v>1</v>
      </c>
      <c r="F13" s="700">
        <v>817.516231199</v>
      </c>
      <c r="G13" s="683">
        <f t="shared" si="2"/>
        <v>4.9613578564207091E-3</v>
      </c>
      <c r="H13" s="701">
        <f>'04a_PROPUESTA_MO'!I16</f>
        <v>820</v>
      </c>
      <c r="I13" s="197" t="s">
        <v>349</v>
      </c>
      <c r="J13" s="195">
        <v>1</v>
      </c>
      <c r="K13" s="197"/>
      <c r="L13" s="195" t="s">
        <v>71</v>
      </c>
      <c r="M13" s="195" t="s">
        <v>67</v>
      </c>
      <c r="N13" s="195" t="str">
        <f t="shared" si="3"/>
        <v>x</v>
      </c>
      <c r="O13" s="195" t="str">
        <f t="shared" si="4"/>
        <v>x</v>
      </c>
      <c r="P13" s="195" t="str">
        <f t="shared" si="5"/>
        <v>-</v>
      </c>
      <c r="Q13" s="514" t="str">
        <f>IF(P13="x",'00_DATOS_PMoradores'!$B$9,"-")</f>
        <v>-</v>
      </c>
      <c r="R13" s="195" t="str">
        <f t="shared" si="6"/>
        <v>-</v>
      </c>
      <c r="S13" s="684" t="str">
        <f>IF(M13="X",'00_DATOS_PMoradores'!$D$4,"-")</f>
        <v>-</v>
      </c>
      <c r="T13" s="684">
        <f t="shared" si="7"/>
        <v>0</v>
      </c>
      <c r="U13" s="195" t="str">
        <f t="shared" si="0"/>
        <v>-</v>
      </c>
      <c r="V13" s="195">
        <f t="shared" si="8"/>
        <v>1</v>
      </c>
      <c r="W13" s="195" t="str">
        <f>IF(U13="x",'00_DATOS_PMoradores'!$B$11,"-")</f>
        <v>-</v>
      </c>
      <c r="X13" s="195" t="str">
        <f t="shared" si="9"/>
        <v>-</v>
      </c>
      <c r="Y13" s="684" t="str">
        <f>IF(U13="x",'00_DATOS_PMoradores'!$D$5,"-")</f>
        <v>-</v>
      </c>
      <c r="Z13" s="684" t="str">
        <f t="shared" si="10"/>
        <v>-</v>
      </c>
      <c r="AA13" s="195" t="str">
        <f t="shared" si="1"/>
        <v>-</v>
      </c>
      <c r="AB13" s="195">
        <f t="shared" si="11"/>
        <v>1</v>
      </c>
      <c r="AC13" s="195" t="str">
        <f>IF(AA13="x",'00_DATOS_PMoradores'!$B$10,"-")</f>
        <v>-</v>
      </c>
      <c r="AD13" s="195" t="str">
        <f t="shared" si="12"/>
        <v>-</v>
      </c>
      <c r="AE13" s="684" t="str">
        <f>IF(AA13="x",'00_DATOS_PMoradores'!$D$7,"-")</f>
        <v>-</v>
      </c>
      <c r="AF13" s="684" t="str">
        <f t="shared" si="13"/>
        <v>-</v>
      </c>
      <c r="AG13" s="487">
        <f t="shared" si="14"/>
        <v>0</v>
      </c>
      <c r="AH13" s="197"/>
      <c r="AI13" s="322">
        <f>'00_Lote_CNT_Existente'!F14</f>
        <v>2889919877.288465</v>
      </c>
      <c r="AJ13" s="201">
        <f t="shared" si="15"/>
        <v>2889919877.288465</v>
      </c>
    </row>
    <row r="14" spans="1:36">
      <c r="A14" s="698" t="s">
        <v>271</v>
      </c>
      <c r="B14" s="698" t="s">
        <v>653</v>
      </c>
      <c r="C14" s="699" t="str">
        <f>'04a_PROPUESTA_MO'!L17</f>
        <v>GASEOSAS LUX S.A</v>
      </c>
      <c r="D14" s="698" t="s">
        <v>652</v>
      </c>
      <c r="E14" s="195">
        <v>2</v>
      </c>
      <c r="F14" s="700">
        <v>814.02717380900003</v>
      </c>
      <c r="G14" s="683">
        <f t="shared" si="2"/>
        <v>4.9401833994096346E-3</v>
      </c>
      <c r="H14" s="701">
        <f>'04a_PROPUESTA_MO'!I17</f>
        <v>554</v>
      </c>
      <c r="I14" s="197" t="s">
        <v>349</v>
      </c>
      <c r="J14" s="195">
        <v>1</v>
      </c>
      <c r="K14" s="197"/>
      <c r="L14" s="195" t="s">
        <v>71</v>
      </c>
      <c r="M14" s="195" t="s">
        <v>67</v>
      </c>
      <c r="N14" s="195" t="str">
        <f t="shared" si="3"/>
        <v>x</v>
      </c>
      <c r="O14" s="195" t="str">
        <f t="shared" si="4"/>
        <v>x</v>
      </c>
      <c r="P14" s="195" t="str">
        <f t="shared" si="5"/>
        <v>-</v>
      </c>
      <c r="Q14" s="514" t="str">
        <f>IF(P14="x",'00_DATOS_PMoradores'!$B$9,"-")</f>
        <v>-</v>
      </c>
      <c r="R14" s="195" t="str">
        <f t="shared" si="6"/>
        <v>-</v>
      </c>
      <c r="S14" s="684" t="str">
        <f>IF(M14="X",'00_DATOS_PMoradores'!$D$4,"-")</f>
        <v>-</v>
      </c>
      <c r="T14" s="684">
        <f t="shared" si="7"/>
        <v>0</v>
      </c>
      <c r="U14" s="195" t="str">
        <f t="shared" si="0"/>
        <v>-</v>
      </c>
      <c r="V14" s="195">
        <f t="shared" si="8"/>
        <v>1</v>
      </c>
      <c r="W14" s="195" t="str">
        <f>IF(U14="x",'00_DATOS_PMoradores'!$B$11,"-")</f>
        <v>-</v>
      </c>
      <c r="X14" s="195" t="str">
        <f t="shared" si="9"/>
        <v>-</v>
      </c>
      <c r="Y14" s="684" t="str">
        <f>IF(U14="x",'00_DATOS_PMoradores'!$D$5,"-")</f>
        <v>-</v>
      </c>
      <c r="Z14" s="684" t="str">
        <f t="shared" si="10"/>
        <v>-</v>
      </c>
      <c r="AA14" s="195" t="str">
        <f t="shared" si="1"/>
        <v>-</v>
      </c>
      <c r="AB14" s="195">
        <f t="shared" si="11"/>
        <v>1</v>
      </c>
      <c r="AC14" s="195" t="str">
        <f>IF(AA14="x",'00_DATOS_PMoradores'!$B$10,"-")</f>
        <v>-</v>
      </c>
      <c r="AD14" s="195" t="str">
        <f t="shared" si="12"/>
        <v>-</v>
      </c>
      <c r="AE14" s="684" t="str">
        <f>IF(AA14="x",'00_DATOS_PMoradores'!$D$7,"-")</f>
        <v>-</v>
      </c>
      <c r="AF14" s="684" t="str">
        <f t="shared" si="13"/>
        <v>-</v>
      </c>
      <c r="AG14" s="487">
        <f t="shared" si="14"/>
        <v>0</v>
      </c>
      <c r="AH14" s="197"/>
      <c r="AI14" s="322">
        <f>'00_Lote_CNT_Existente'!F15</f>
        <v>2877586059.4148149</v>
      </c>
      <c r="AJ14" s="201">
        <f t="shared" si="15"/>
        <v>2877586059.4148149</v>
      </c>
    </row>
    <row r="15" spans="1:36">
      <c r="A15" s="698" t="s">
        <v>272</v>
      </c>
      <c r="B15" s="698" t="s">
        <v>654</v>
      </c>
      <c r="C15" s="699" t="str">
        <f>'04a_PROPUESTA_MO'!L18</f>
        <v>GASEOSAS LUX S.A</v>
      </c>
      <c r="D15" s="698" t="s">
        <v>652</v>
      </c>
      <c r="E15" s="195">
        <v>3</v>
      </c>
      <c r="F15" s="700">
        <v>1634.6309675800001</v>
      </c>
      <c r="G15" s="683">
        <f t="shared" si="2"/>
        <v>9.9202791135500814E-3</v>
      </c>
      <c r="H15" s="701">
        <f>'04a_PROPUESTA_MO'!I18</f>
        <v>1640</v>
      </c>
      <c r="I15" s="197" t="s">
        <v>349</v>
      </c>
      <c r="J15" s="195">
        <v>1</v>
      </c>
      <c r="K15" s="197"/>
      <c r="L15" s="195" t="s">
        <v>71</v>
      </c>
      <c r="M15" s="195" t="s">
        <v>67</v>
      </c>
      <c r="N15" s="195" t="str">
        <f t="shared" si="3"/>
        <v>x</v>
      </c>
      <c r="O15" s="195" t="str">
        <f t="shared" si="4"/>
        <v>x</v>
      </c>
      <c r="P15" s="195" t="str">
        <f t="shared" si="5"/>
        <v>-</v>
      </c>
      <c r="Q15" s="514" t="str">
        <f>IF(P15="x",'00_DATOS_PMoradores'!$B$9,"-")</f>
        <v>-</v>
      </c>
      <c r="R15" s="195" t="str">
        <f t="shared" si="6"/>
        <v>-</v>
      </c>
      <c r="S15" s="684" t="str">
        <f>IF(M15="X",'00_DATOS_PMoradores'!$D$4,"-")</f>
        <v>-</v>
      </c>
      <c r="T15" s="684">
        <f t="shared" si="7"/>
        <v>0</v>
      </c>
      <c r="U15" s="195" t="str">
        <f t="shared" si="0"/>
        <v>-</v>
      </c>
      <c r="V15" s="195">
        <f t="shared" si="8"/>
        <v>1</v>
      </c>
      <c r="W15" s="195" t="str">
        <f>IF(U15="x",'00_DATOS_PMoradores'!$B$11,"-")</f>
        <v>-</v>
      </c>
      <c r="X15" s="195" t="str">
        <f t="shared" si="9"/>
        <v>-</v>
      </c>
      <c r="Y15" s="684" t="str">
        <f>IF(U15="x",'00_DATOS_PMoradores'!$D$5,"-")</f>
        <v>-</v>
      </c>
      <c r="Z15" s="684" t="str">
        <f t="shared" si="10"/>
        <v>-</v>
      </c>
      <c r="AA15" s="195" t="str">
        <f t="shared" si="1"/>
        <v>-</v>
      </c>
      <c r="AB15" s="195">
        <f t="shared" si="11"/>
        <v>1</v>
      </c>
      <c r="AC15" s="195" t="str">
        <f>IF(AA15="x",'00_DATOS_PMoradores'!$B$10,"-")</f>
        <v>-</v>
      </c>
      <c r="AD15" s="195" t="str">
        <f t="shared" si="12"/>
        <v>-</v>
      </c>
      <c r="AE15" s="684" t="str">
        <f>IF(AA15="x",'00_DATOS_PMoradores'!$D$7,"-")</f>
        <v>-</v>
      </c>
      <c r="AF15" s="684" t="str">
        <f t="shared" si="13"/>
        <v>-</v>
      </c>
      <c r="AG15" s="487">
        <f t="shared" si="14"/>
        <v>0</v>
      </c>
      <c r="AH15" s="197"/>
      <c r="AI15" s="322">
        <f>'00_Lote_CNT_Existente'!F16</f>
        <v>5778420470.3952999</v>
      </c>
      <c r="AJ15" s="201">
        <f t="shared" si="15"/>
        <v>5778420470.3952999</v>
      </c>
    </row>
    <row r="16" spans="1:36">
      <c r="A16" s="698" t="s">
        <v>264</v>
      </c>
      <c r="B16" s="698" t="s">
        <v>643</v>
      </c>
      <c r="C16" s="699" t="str">
        <f>'04a_PROPUESTA_MO'!L19</f>
        <v>GASEOSAS LUX S.A</v>
      </c>
      <c r="D16" s="698" t="s">
        <v>652</v>
      </c>
      <c r="E16" s="195">
        <v>4</v>
      </c>
      <c r="F16" s="700">
        <v>14682.0193</v>
      </c>
      <c r="G16" s="683">
        <f t="shared" si="2"/>
        <v>8.9102514448357276E-2</v>
      </c>
      <c r="H16" s="701">
        <f>'04a_PROPUESTA_MO'!I19</f>
        <v>43867.5</v>
      </c>
      <c r="I16" s="197" t="s">
        <v>349</v>
      </c>
      <c r="J16" s="195">
        <v>1</v>
      </c>
      <c r="K16" s="197"/>
      <c r="L16" s="195" t="s">
        <v>71</v>
      </c>
      <c r="M16" s="195" t="s">
        <v>67</v>
      </c>
      <c r="N16" s="195" t="str">
        <f t="shared" si="3"/>
        <v>x</v>
      </c>
      <c r="O16" s="195" t="str">
        <f t="shared" si="4"/>
        <v>x</v>
      </c>
      <c r="P16" s="195" t="str">
        <f t="shared" si="5"/>
        <v>-</v>
      </c>
      <c r="Q16" s="514" t="str">
        <f>IF(P16="x",'00_DATOS_PMoradores'!$B$9,"-")</f>
        <v>-</v>
      </c>
      <c r="R16" s="195" t="str">
        <f t="shared" si="6"/>
        <v>-</v>
      </c>
      <c r="S16" s="684" t="str">
        <f>IF(M16="X",'00_DATOS_PMoradores'!$D$4,"-")</f>
        <v>-</v>
      </c>
      <c r="T16" s="684">
        <f t="shared" si="7"/>
        <v>0</v>
      </c>
      <c r="U16" s="195" t="str">
        <f t="shared" si="0"/>
        <v>-</v>
      </c>
      <c r="V16" s="195">
        <f t="shared" si="8"/>
        <v>1</v>
      </c>
      <c r="W16" s="195" t="str">
        <f>IF(U16="x",'00_DATOS_PMoradores'!$B$11,"-")</f>
        <v>-</v>
      </c>
      <c r="X16" s="195" t="str">
        <f t="shared" si="9"/>
        <v>-</v>
      </c>
      <c r="Y16" s="684" t="str">
        <f>IF(U16="x",'00_DATOS_PMoradores'!$D$5,"-")</f>
        <v>-</v>
      </c>
      <c r="Z16" s="684" t="str">
        <f t="shared" si="10"/>
        <v>-</v>
      </c>
      <c r="AA16" s="195" t="str">
        <f t="shared" si="1"/>
        <v>-</v>
      </c>
      <c r="AB16" s="195">
        <f t="shared" si="11"/>
        <v>1</v>
      </c>
      <c r="AC16" s="195" t="str">
        <f>IF(AA16="x",'00_DATOS_PMoradores'!$B$10,"-")</f>
        <v>-</v>
      </c>
      <c r="AD16" s="195" t="str">
        <f t="shared" si="12"/>
        <v>-</v>
      </c>
      <c r="AE16" s="684" t="str">
        <f>IF(AA16="x",'00_DATOS_PMoradores'!$D$7,"-")</f>
        <v>-</v>
      </c>
      <c r="AF16" s="684" t="str">
        <f t="shared" si="13"/>
        <v>-</v>
      </c>
      <c r="AG16" s="487">
        <f t="shared" si="14"/>
        <v>0</v>
      </c>
      <c r="AH16" s="197"/>
      <c r="AI16" s="322">
        <f>'00_Lote_CNT_Existente'!F17</f>
        <v>51900938225.5</v>
      </c>
      <c r="AJ16" s="201">
        <f t="shared" si="15"/>
        <v>51900938225.5</v>
      </c>
    </row>
    <row r="17" spans="1:36" ht="27.6">
      <c r="A17" s="698" t="s">
        <v>273</v>
      </c>
      <c r="B17" s="698" t="s">
        <v>655</v>
      </c>
      <c r="C17" s="699" t="str">
        <f>'04a_PROPUESTA_MO'!L20</f>
        <v>CUATRO PROPIETARIOS, DIFERENTES PORCENTAJES NO SUMA 100%</v>
      </c>
      <c r="D17" s="698" t="s">
        <v>652</v>
      </c>
      <c r="E17" s="195">
        <v>5</v>
      </c>
      <c r="F17" s="700">
        <v>820.37306783199995</v>
      </c>
      <c r="G17" s="683">
        <f t="shared" si="2"/>
        <v>4.978695480228933E-3</v>
      </c>
      <c r="H17" s="701">
        <f>'04a_PROPUESTA_MO'!I20</f>
        <v>910.4</v>
      </c>
      <c r="I17" s="197" t="s">
        <v>410</v>
      </c>
      <c r="J17" s="195">
        <v>1</v>
      </c>
      <c r="K17" s="197"/>
      <c r="L17" s="195" t="s">
        <v>71</v>
      </c>
      <c r="M17" s="195" t="s">
        <v>71</v>
      </c>
      <c r="N17" s="195" t="str">
        <f t="shared" si="3"/>
        <v>x</v>
      </c>
      <c r="O17" s="195" t="str">
        <f t="shared" si="4"/>
        <v>x</v>
      </c>
      <c r="P17" s="195" t="str">
        <f t="shared" si="5"/>
        <v>x</v>
      </c>
      <c r="Q17" s="514">
        <f>IF(P17="x",'00_DATOS_PMoradores'!$B$9,"-")</f>
        <v>3</v>
      </c>
      <c r="R17" s="195">
        <f t="shared" si="6"/>
        <v>910.4</v>
      </c>
      <c r="S17" s="684">
        <f>IF(M17="X",'00_DATOS_PMoradores'!$D$4,"-")</f>
        <v>105016.9862</v>
      </c>
      <c r="T17" s="684">
        <f t="shared" si="7"/>
        <v>286822392.70943999</v>
      </c>
      <c r="U17" s="195" t="str">
        <f t="shared" si="0"/>
        <v>x</v>
      </c>
      <c r="V17" s="195">
        <f t="shared" si="8"/>
        <v>1</v>
      </c>
      <c r="W17" s="195">
        <f>IF(U17="x",'00_DATOS_PMoradores'!$B$11,"-")</f>
        <v>2</v>
      </c>
      <c r="X17" s="195">
        <f t="shared" si="9"/>
        <v>2</v>
      </c>
      <c r="Y17" s="684">
        <f>IF(U17="x",'00_DATOS_PMoradores'!$D$5,"-")</f>
        <v>663265.17599999998</v>
      </c>
      <c r="Z17" s="684">
        <f t="shared" si="10"/>
        <v>1326530.352</v>
      </c>
      <c r="AA17" s="195" t="str">
        <f t="shared" si="1"/>
        <v>x</v>
      </c>
      <c r="AB17" s="195">
        <f t="shared" si="11"/>
        <v>1</v>
      </c>
      <c r="AC17" s="195">
        <f>IF(AA17="x",'00_DATOS_PMoradores'!$B$10,"-")</f>
        <v>18</v>
      </c>
      <c r="AD17" s="195">
        <f t="shared" si="12"/>
        <v>18</v>
      </c>
      <c r="AE17" s="684">
        <f>IF(AA17="x",'00_DATOS_PMoradores'!$D$7,"-")</f>
        <v>7738093.7199999997</v>
      </c>
      <c r="AF17" s="684">
        <f t="shared" si="13"/>
        <v>139285686.96000001</v>
      </c>
      <c r="AG17" s="487">
        <f t="shared" si="14"/>
        <v>427434610.02144003</v>
      </c>
      <c r="AH17" s="197"/>
      <c r="AI17" s="322">
        <f>'00_Lote_CNT_Existente'!F18</f>
        <v>2900018794.7861199</v>
      </c>
      <c r="AJ17" s="201">
        <f t="shared" si="15"/>
        <v>3327453404.80756</v>
      </c>
    </row>
    <row r="18" spans="1:36">
      <c r="A18" s="698" t="s">
        <v>274</v>
      </c>
      <c r="B18" s="698" t="s">
        <v>656</v>
      </c>
      <c r="C18" s="699" t="str">
        <f>'04a_PROPUESTA_MO'!L21</f>
        <v>TRES PROPIETARIOS, NATURALES</v>
      </c>
      <c r="D18" s="698" t="s">
        <v>652</v>
      </c>
      <c r="E18" s="195">
        <v>6</v>
      </c>
      <c r="F18" s="700">
        <v>667.90779999999995</v>
      </c>
      <c r="G18" s="683">
        <f t="shared" si="2"/>
        <v>4.0534113995934137E-3</v>
      </c>
      <c r="H18" s="701">
        <f>'04a_PROPUESTA_MO'!I21</f>
        <v>826</v>
      </c>
      <c r="I18" s="197" t="s">
        <v>433</v>
      </c>
      <c r="J18" s="195">
        <v>1</v>
      </c>
      <c r="K18" s="197"/>
      <c r="L18" s="195" t="s">
        <v>71</v>
      </c>
      <c r="M18" s="195" t="s">
        <v>71</v>
      </c>
      <c r="N18" s="195" t="str">
        <f t="shared" si="3"/>
        <v>x</v>
      </c>
      <c r="O18" s="195" t="str">
        <f t="shared" si="4"/>
        <v>x</v>
      </c>
      <c r="P18" s="195" t="str">
        <f t="shared" si="5"/>
        <v>x</v>
      </c>
      <c r="Q18" s="514">
        <f>IF(P18="x",'00_DATOS_PMoradores'!$B$9,"-")</f>
        <v>3</v>
      </c>
      <c r="R18" s="195">
        <f t="shared" si="6"/>
        <v>826</v>
      </c>
      <c r="S18" s="684">
        <f>IF(M18="X",'00_DATOS_PMoradores'!$D$4,"-")</f>
        <v>105016.9862</v>
      </c>
      <c r="T18" s="684">
        <f t="shared" si="7"/>
        <v>260232091.80360001</v>
      </c>
      <c r="U18" s="195" t="str">
        <f t="shared" si="0"/>
        <v>x</v>
      </c>
      <c r="V18" s="195">
        <f t="shared" si="8"/>
        <v>1</v>
      </c>
      <c r="W18" s="195">
        <f>IF(U18="x",'00_DATOS_PMoradores'!$B$11,"-")</f>
        <v>2</v>
      </c>
      <c r="X18" s="195">
        <f t="shared" si="9"/>
        <v>2</v>
      </c>
      <c r="Y18" s="684">
        <f>IF(U18="x",'00_DATOS_PMoradores'!$D$5,"-")</f>
        <v>663265.17599999998</v>
      </c>
      <c r="Z18" s="684">
        <f t="shared" si="10"/>
        <v>1326530.352</v>
      </c>
      <c r="AA18" s="195" t="str">
        <f t="shared" si="1"/>
        <v>x</v>
      </c>
      <c r="AB18" s="195">
        <f t="shared" si="11"/>
        <v>1</v>
      </c>
      <c r="AC18" s="195">
        <f>IF(AA18="x",'00_DATOS_PMoradores'!$B$10,"-")</f>
        <v>18</v>
      </c>
      <c r="AD18" s="195">
        <f t="shared" si="12"/>
        <v>18</v>
      </c>
      <c r="AE18" s="684">
        <f>IF(AA18="x",'00_DATOS_PMoradores'!$D$7,"-")</f>
        <v>7738093.7199999997</v>
      </c>
      <c r="AF18" s="684">
        <f t="shared" si="13"/>
        <v>139285686.96000001</v>
      </c>
      <c r="AG18" s="487">
        <f t="shared" si="14"/>
        <v>400844309.11559999</v>
      </c>
      <c r="AH18" s="197"/>
      <c r="AI18" s="322">
        <f>'00_Lote_CNT_Existente'!F19</f>
        <v>2361054073</v>
      </c>
      <c r="AJ18" s="201">
        <f t="shared" si="15"/>
        <v>2761898382.1156001</v>
      </c>
    </row>
    <row r="19" spans="1:36" ht="27.6">
      <c r="A19" s="698" t="s">
        <v>275</v>
      </c>
      <c r="B19" s="698" t="s">
        <v>657</v>
      </c>
      <c r="C19" s="699" t="str">
        <f>'04a_PROPUESTA_MO'!L22</f>
        <v>INTERANDINA DE CONDUCTORES LIMITADA</v>
      </c>
      <c r="D19" s="698" t="s">
        <v>658</v>
      </c>
      <c r="E19" s="195">
        <v>1</v>
      </c>
      <c r="F19" s="700">
        <v>819.95528273399998</v>
      </c>
      <c r="G19" s="683">
        <f t="shared" si="2"/>
        <v>4.9761600181804089E-3</v>
      </c>
      <c r="H19" s="701">
        <f>'04a_PROPUESTA_MO'!I22</f>
        <v>820</v>
      </c>
      <c r="I19" s="197" t="s">
        <v>331</v>
      </c>
      <c r="J19" s="195">
        <v>1</v>
      </c>
      <c r="K19" s="197"/>
      <c r="L19" s="195" t="s">
        <v>71</v>
      </c>
      <c r="M19" s="195" t="s">
        <v>71</v>
      </c>
      <c r="N19" s="195" t="str">
        <f t="shared" si="3"/>
        <v>x</v>
      </c>
      <c r="O19" s="195" t="str">
        <f t="shared" si="4"/>
        <v>x</v>
      </c>
      <c r="P19" s="195" t="str">
        <f t="shared" si="5"/>
        <v>x</v>
      </c>
      <c r="Q19" s="514">
        <f>IF(P19="x",'00_DATOS_PMoradores'!$B$9,"-")</f>
        <v>3</v>
      </c>
      <c r="R19" s="195">
        <f t="shared" si="6"/>
        <v>820</v>
      </c>
      <c r="S19" s="684">
        <f>IF(M19="X",'00_DATOS_PMoradores'!$D$4,"-")</f>
        <v>105016.9862</v>
      </c>
      <c r="T19" s="684">
        <f t="shared" si="7"/>
        <v>258341786.05199999</v>
      </c>
      <c r="U19" s="195" t="str">
        <f t="shared" si="0"/>
        <v>x</v>
      </c>
      <c r="V19" s="195">
        <f t="shared" si="8"/>
        <v>1</v>
      </c>
      <c r="W19" s="195">
        <f>IF(U19="x",'00_DATOS_PMoradores'!$B$11,"-")</f>
        <v>2</v>
      </c>
      <c r="X19" s="195">
        <f t="shared" si="9"/>
        <v>2</v>
      </c>
      <c r="Y19" s="684">
        <f>IF(U19="x",'00_DATOS_PMoradores'!$D$5,"-")</f>
        <v>663265.17599999998</v>
      </c>
      <c r="Z19" s="684">
        <f t="shared" si="10"/>
        <v>1326530.352</v>
      </c>
      <c r="AA19" s="195" t="str">
        <f t="shared" si="1"/>
        <v>x</v>
      </c>
      <c r="AB19" s="195">
        <f t="shared" si="11"/>
        <v>1</v>
      </c>
      <c r="AC19" s="195">
        <f>IF(AA19="x",'00_DATOS_PMoradores'!$B$10,"-")</f>
        <v>18</v>
      </c>
      <c r="AD19" s="195">
        <f t="shared" si="12"/>
        <v>18</v>
      </c>
      <c r="AE19" s="684">
        <f>IF(AA19="x",'00_DATOS_PMoradores'!$D$7,"-")</f>
        <v>7738093.7199999997</v>
      </c>
      <c r="AF19" s="684">
        <f t="shared" si="13"/>
        <v>139285686.96000001</v>
      </c>
      <c r="AG19" s="487">
        <f t="shared" si="14"/>
        <v>398954003.36399996</v>
      </c>
      <c r="AH19" s="197"/>
      <c r="AI19" s="322">
        <f>'00_Lote_CNT_Existente'!F20</f>
        <v>2898541924.4646897</v>
      </c>
      <c r="AJ19" s="201">
        <f t="shared" si="15"/>
        <v>3297495927.8286896</v>
      </c>
    </row>
    <row r="20" spans="1:36">
      <c r="A20" s="698" t="s">
        <v>264</v>
      </c>
      <c r="B20" s="698" t="s">
        <v>643</v>
      </c>
      <c r="C20" s="699" t="str">
        <f>'04a_PROPUESTA_MO'!L23</f>
        <v>GASEOSAS LUX S.A</v>
      </c>
      <c r="D20" s="698" t="s">
        <v>658</v>
      </c>
      <c r="E20" s="195">
        <v>2</v>
      </c>
      <c r="F20" s="700">
        <v>12043.504999999999</v>
      </c>
      <c r="G20" s="683">
        <f t="shared" si="2"/>
        <v>7.3089849314621383E-2</v>
      </c>
      <c r="H20" s="701">
        <f>'04a_PROPUESTA_MO'!I23</f>
        <v>43867.5</v>
      </c>
      <c r="I20" s="197" t="s">
        <v>349</v>
      </c>
      <c r="J20" s="195">
        <v>1</v>
      </c>
      <c r="K20" s="197"/>
      <c r="L20" s="195" t="s">
        <v>71</v>
      </c>
      <c r="M20" s="195" t="s">
        <v>67</v>
      </c>
      <c r="N20" s="195" t="str">
        <f t="shared" si="3"/>
        <v>x</v>
      </c>
      <c r="O20" s="195" t="str">
        <f t="shared" si="4"/>
        <v>x</v>
      </c>
      <c r="P20" s="195" t="str">
        <f t="shared" si="5"/>
        <v>-</v>
      </c>
      <c r="Q20" s="514" t="str">
        <f>IF(P20="x",'00_DATOS_PMoradores'!$B$9,"-")</f>
        <v>-</v>
      </c>
      <c r="R20" s="195" t="str">
        <f t="shared" si="6"/>
        <v>-</v>
      </c>
      <c r="S20" s="684" t="str">
        <f>IF(M20="X",'00_DATOS_PMoradores'!$D$4,"-")</f>
        <v>-</v>
      </c>
      <c r="T20" s="684">
        <f t="shared" si="7"/>
        <v>0</v>
      </c>
      <c r="U20" s="195" t="str">
        <f t="shared" si="0"/>
        <v>-</v>
      </c>
      <c r="V20" s="195">
        <f t="shared" si="8"/>
        <v>1</v>
      </c>
      <c r="W20" s="195" t="str">
        <f>IF(U20="x",'00_DATOS_PMoradores'!$B$11,"-")</f>
        <v>-</v>
      </c>
      <c r="X20" s="195" t="str">
        <f t="shared" si="9"/>
        <v>-</v>
      </c>
      <c r="Y20" s="684" t="str">
        <f>IF(U20="x",'00_DATOS_PMoradores'!$D$5,"-")</f>
        <v>-</v>
      </c>
      <c r="Z20" s="684" t="str">
        <f t="shared" si="10"/>
        <v>-</v>
      </c>
      <c r="AA20" s="195" t="str">
        <f t="shared" si="1"/>
        <v>-</v>
      </c>
      <c r="AB20" s="195">
        <f t="shared" si="11"/>
        <v>1</v>
      </c>
      <c r="AC20" s="195" t="str">
        <f>IF(AA20="x",'00_DATOS_PMoradores'!$B$10,"-")</f>
        <v>-</v>
      </c>
      <c r="AD20" s="195" t="str">
        <f t="shared" si="12"/>
        <v>-</v>
      </c>
      <c r="AE20" s="684" t="str">
        <f>IF(AA20="x",'00_DATOS_PMoradores'!$D$7,"-")</f>
        <v>-</v>
      </c>
      <c r="AF20" s="684" t="str">
        <f t="shared" si="13"/>
        <v>-</v>
      </c>
      <c r="AG20" s="487">
        <f t="shared" si="14"/>
        <v>0</v>
      </c>
      <c r="AH20" s="197"/>
      <c r="AI20" s="322">
        <f>'00_Lote_CNT_Existente'!F21</f>
        <v>42573790175</v>
      </c>
      <c r="AJ20" s="201">
        <f t="shared" si="15"/>
        <v>42573790175</v>
      </c>
    </row>
    <row r="21" spans="1:36">
      <c r="A21" s="698" t="s">
        <v>276</v>
      </c>
      <c r="B21" s="698" t="s">
        <v>659</v>
      </c>
      <c r="C21" s="699" t="str">
        <f>'04a_PROPUESTA_MO'!L24</f>
        <v>SKOTIABANK COLPATRIA</v>
      </c>
      <c r="D21" s="698" t="s">
        <v>658</v>
      </c>
      <c r="E21" s="195">
        <v>3</v>
      </c>
      <c r="F21" s="700">
        <v>821.12635442700002</v>
      </c>
      <c r="G21" s="683">
        <f t="shared" si="2"/>
        <v>4.9832670400629907E-3</v>
      </c>
      <c r="H21" s="701">
        <f>'04a_PROPUESTA_MO'!I24</f>
        <v>925.5</v>
      </c>
      <c r="I21" s="197" t="s">
        <v>386</v>
      </c>
      <c r="J21" s="195">
        <v>1</v>
      </c>
      <c r="K21" s="197"/>
      <c r="L21" s="195" t="s">
        <v>71</v>
      </c>
      <c r="M21" s="195" t="s">
        <v>71</v>
      </c>
      <c r="N21" s="195" t="str">
        <f t="shared" si="3"/>
        <v>x</v>
      </c>
      <c r="O21" s="195" t="str">
        <f t="shared" si="4"/>
        <v>x</v>
      </c>
      <c r="P21" s="195" t="str">
        <f t="shared" si="5"/>
        <v>x</v>
      </c>
      <c r="Q21" s="514">
        <f>IF(P21="x",'00_DATOS_PMoradores'!$B$9,"-")</f>
        <v>3</v>
      </c>
      <c r="R21" s="195">
        <f t="shared" si="6"/>
        <v>925.5</v>
      </c>
      <c r="S21" s="684">
        <f>IF(M21="X",'00_DATOS_PMoradores'!$D$4,"-")</f>
        <v>105016.9862</v>
      </c>
      <c r="T21" s="684">
        <f t="shared" si="7"/>
        <v>291579662.18430001</v>
      </c>
      <c r="U21" s="195" t="str">
        <f t="shared" si="0"/>
        <v>x</v>
      </c>
      <c r="V21" s="195">
        <f t="shared" si="8"/>
        <v>1</v>
      </c>
      <c r="W21" s="195">
        <f>IF(U21="x",'00_DATOS_PMoradores'!$B$11,"-")</f>
        <v>2</v>
      </c>
      <c r="X21" s="195">
        <f t="shared" si="9"/>
        <v>2</v>
      </c>
      <c r="Y21" s="684">
        <f>IF(U21="x",'00_DATOS_PMoradores'!$D$5,"-")</f>
        <v>663265.17599999998</v>
      </c>
      <c r="Z21" s="684">
        <f t="shared" si="10"/>
        <v>1326530.352</v>
      </c>
      <c r="AA21" s="195" t="str">
        <f t="shared" si="1"/>
        <v>x</v>
      </c>
      <c r="AB21" s="195">
        <f t="shared" si="11"/>
        <v>1</v>
      </c>
      <c r="AC21" s="195">
        <f>IF(AA21="x",'00_DATOS_PMoradores'!$B$10,"-")</f>
        <v>18</v>
      </c>
      <c r="AD21" s="195">
        <f t="shared" si="12"/>
        <v>18</v>
      </c>
      <c r="AE21" s="684">
        <f>IF(AA21="x",'00_DATOS_PMoradores'!$D$7,"-")</f>
        <v>7738093.7199999997</v>
      </c>
      <c r="AF21" s="684">
        <f t="shared" si="13"/>
        <v>139285686.96000001</v>
      </c>
      <c r="AG21" s="487">
        <f t="shared" si="14"/>
        <v>432191879.49629998</v>
      </c>
      <c r="AH21" s="197"/>
      <c r="AI21" s="322">
        <f>'00_Lote_CNT_Existente'!F22</f>
        <v>2902681662.8994451</v>
      </c>
      <c r="AJ21" s="201">
        <f t="shared" si="15"/>
        <v>3334873542.3957453</v>
      </c>
    </row>
    <row r="22" spans="1:36">
      <c r="A22" s="698" t="s">
        <v>277</v>
      </c>
      <c r="B22" s="698" t="s">
        <v>660</v>
      </c>
      <c r="C22" s="699" t="str">
        <f>'04a_PROPUESTA_MO'!L25</f>
        <v>GASEOSAS LUX S.A</v>
      </c>
      <c r="D22" s="698" t="s">
        <v>658</v>
      </c>
      <c r="E22" s="195">
        <v>4</v>
      </c>
      <c r="F22" s="700">
        <v>1206.97006059</v>
      </c>
      <c r="G22" s="683">
        <f t="shared" si="2"/>
        <v>7.324882569964687E-3</v>
      </c>
      <c r="H22" s="701">
        <f>'04a_PROPUESTA_MO'!I25</f>
        <v>1254.9000000000001</v>
      </c>
      <c r="I22" s="197" t="s">
        <v>349</v>
      </c>
      <c r="J22" s="195">
        <v>1</v>
      </c>
      <c r="K22" s="197"/>
      <c r="L22" s="195" t="s">
        <v>71</v>
      </c>
      <c r="M22" s="195" t="s">
        <v>67</v>
      </c>
      <c r="N22" s="195" t="str">
        <f t="shared" si="3"/>
        <v>x</v>
      </c>
      <c r="O22" s="195" t="str">
        <f t="shared" si="4"/>
        <v>x</v>
      </c>
      <c r="P22" s="195" t="str">
        <f t="shared" si="5"/>
        <v>-</v>
      </c>
      <c r="Q22" s="514" t="str">
        <f>IF(P22="x",'00_DATOS_PMoradores'!$B$9,"-")</f>
        <v>-</v>
      </c>
      <c r="R22" s="195" t="str">
        <f t="shared" si="6"/>
        <v>-</v>
      </c>
      <c r="S22" s="684" t="str">
        <f>IF(M22="X",'00_DATOS_PMoradores'!$D$4,"-")</f>
        <v>-</v>
      </c>
      <c r="T22" s="684">
        <f t="shared" si="7"/>
        <v>0</v>
      </c>
      <c r="U22" s="195" t="str">
        <f t="shared" si="0"/>
        <v>-</v>
      </c>
      <c r="V22" s="195">
        <f t="shared" si="8"/>
        <v>1</v>
      </c>
      <c r="W22" s="195" t="str">
        <f>IF(U22="x",'00_DATOS_PMoradores'!$B$11,"-")</f>
        <v>-</v>
      </c>
      <c r="X22" s="195" t="str">
        <f t="shared" si="9"/>
        <v>-</v>
      </c>
      <c r="Y22" s="684" t="str">
        <f>IF(U22="x",'00_DATOS_PMoradores'!$D$5,"-")</f>
        <v>-</v>
      </c>
      <c r="Z22" s="684" t="str">
        <f t="shared" si="10"/>
        <v>-</v>
      </c>
      <c r="AA22" s="195" t="str">
        <f t="shared" si="1"/>
        <v>-</v>
      </c>
      <c r="AB22" s="195">
        <f t="shared" si="11"/>
        <v>1</v>
      </c>
      <c r="AC22" s="195" t="str">
        <f>IF(AA22="x",'00_DATOS_PMoradores'!$B$10,"-")</f>
        <v>-</v>
      </c>
      <c r="AD22" s="195" t="str">
        <f t="shared" si="12"/>
        <v>-</v>
      </c>
      <c r="AE22" s="684" t="str">
        <f>IF(AA22="x",'00_DATOS_PMoradores'!$D$7,"-")</f>
        <v>-</v>
      </c>
      <c r="AF22" s="684" t="str">
        <f t="shared" si="13"/>
        <v>-</v>
      </c>
      <c r="AG22" s="487">
        <f t="shared" si="14"/>
        <v>0</v>
      </c>
      <c r="AH22" s="197"/>
      <c r="AI22" s="322">
        <f>'00_Lote_CNT_Existente'!F23</f>
        <v>4266639164.1856499</v>
      </c>
      <c r="AJ22" s="201">
        <f t="shared" si="15"/>
        <v>4266639164.1856499</v>
      </c>
    </row>
    <row r="23" spans="1:36">
      <c r="A23" s="698" t="s">
        <v>278</v>
      </c>
      <c r="B23" s="698" t="s">
        <v>661</v>
      </c>
      <c r="C23" s="699" t="str">
        <f>'04a_PROPUESTA_MO'!L26</f>
        <v>BANCO DAVIVIENDA SA</v>
      </c>
      <c r="D23" s="698" t="s">
        <v>658</v>
      </c>
      <c r="E23" s="195">
        <v>5</v>
      </c>
      <c r="F23" s="700">
        <v>819.92433800200001</v>
      </c>
      <c r="G23" s="683">
        <f t="shared" si="2"/>
        <v>4.9759722202097215E-3</v>
      </c>
      <c r="H23" s="701">
        <f>'04a_PROPUESTA_MO'!I26</f>
        <v>924.9</v>
      </c>
      <c r="I23" s="197" t="s">
        <v>403</v>
      </c>
      <c r="J23" s="195">
        <v>1</v>
      </c>
      <c r="K23" s="197"/>
      <c r="L23" s="195" t="s">
        <v>71</v>
      </c>
      <c r="M23" s="195" t="s">
        <v>71</v>
      </c>
      <c r="N23" s="195" t="str">
        <f t="shared" si="3"/>
        <v>x</v>
      </c>
      <c r="O23" s="195" t="str">
        <f t="shared" si="4"/>
        <v>x</v>
      </c>
      <c r="P23" s="195" t="str">
        <f t="shared" si="5"/>
        <v>x</v>
      </c>
      <c r="Q23" s="514">
        <f>IF(P23="x",'00_DATOS_PMoradores'!$B$9,"-")</f>
        <v>3</v>
      </c>
      <c r="R23" s="195">
        <f t="shared" si="6"/>
        <v>924.9</v>
      </c>
      <c r="S23" s="684">
        <f>IF(M23="X",'00_DATOS_PMoradores'!$D$4,"-")</f>
        <v>105016.9862</v>
      </c>
      <c r="T23" s="684">
        <f t="shared" si="7"/>
        <v>291390631.60913998</v>
      </c>
      <c r="U23" s="195" t="str">
        <f t="shared" si="0"/>
        <v>x</v>
      </c>
      <c r="V23" s="195">
        <f t="shared" si="8"/>
        <v>1</v>
      </c>
      <c r="W23" s="195">
        <f>IF(U23="x",'00_DATOS_PMoradores'!$B$11,"-")</f>
        <v>2</v>
      </c>
      <c r="X23" s="195">
        <f t="shared" si="9"/>
        <v>2</v>
      </c>
      <c r="Y23" s="684">
        <f>IF(U23="x",'00_DATOS_PMoradores'!$D$5,"-")</f>
        <v>663265.17599999998</v>
      </c>
      <c r="Z23" s="684">
        <f t="shared" si="10"/>
        <v>1326530.352</v>
      </c>
      <c r="AA23" s="195" t="str">
        <f t="shared" si="1"/>
        <v>x</v>
      </c>
      <c r="AB23" s="195">
        <f t="shared" si="11"/>
        <v>1</v>
      </c>
      <c r="AC23" s="195">
        <f>IF(AA23="x",'00_DATOS_PMoradores'!$B$10,"-")</f>
        <v>18</v>
      </c>
      <c r="AD23" s="195">
        <f t="shared" si="12"/>
        <v>18</v>
      </c>
      <c r="AE23" s="684">
        <f>IF(AA23="x",'00_DATOS_PMoradores'!$D$7,"-")</f>
        <v>7738093.7199999997</v>
      </c>
      <c r="AF23" s="684">
        <f t="shared" si="13"/>
        <v>139285686.96000001</v>
      </c>
      <c r="AG23" s="487">
        <f t="shared" si="14"/>
        <v>432002848.92113996</v>
      </c>
      <c r="AH23" s="197"/>
      <c r="AI23" s="322">
        <f>'00_Lote_CNT_Existente'!F24</f>
        <v>2898432534.83707</v>
      </c>
      <c r="AJ23" s="201">
        <f t="shared" si="15"/>
        <v>3330435383.7582102</v>
      </c>
    </row>
    <row r="24" spans="1:36">
      <c r="A24" s="698" t="s">
        <v>279</v>
      </c>
      <c r="B24" s="698" t="s">
        <v>662</v>
      </c>
      <c r="C24" s="699" t="str">
        <f>'04a_PROPUESTA_MO'!L27</f>
        <v>INDUSTRIAS MIWAL LIMITADA</v>
      </c>
      <c r="D24" s="698" t="s">
        <v>658</v>
      </c>
      <c r="E24" s="195">
        <v>6</v>
      </c>
      <c r="F24" s="700">
        <v>820.64756360399997</v>
      </c>
      <c r="G24" s="683">
        <f t="shared" si="2"/>
        <v>4.980361345324931E-3</v>
      </c>
      <c r="H24" s="701">
        <f>'04a_PROPUESTA_MO'!I27</f>
        <v>1142</v>
      </c>
      <c r="I24" s="197" t="s">
        <v>417</v>
      </c>
      <c r="J24" s="195">
        <v>1</v>
      </c>
      <c r="K24" s="197"/>
      <c r="L24" s="195" t="s">
        <v>71</v>
      </c>
      <c r="M24" s="195" t="s">
        <v>71</v>
      </c>
      <c r="N24" s="195" t="str">
        <f t="shared" si="3"/>
        <v>x</v>
      </c>
      <c r="O24" s="195" t="str">
        <f t="shared" si="4"/>
        <v>x</v>
      </c>
      <c r="P24" s="195" t="str">
        <f t="shared" si="5"/>
        <v>x</v>
      </c>
      <c r="Q24" s="514">
        <f>IF(P24="x",'00_DATOS_PMoradores'!$B$9,"-")</f>
        <v>3</v>
      </c>
      <c r="R24" s="195">
        <f t="shared" si="6"/>
        <v>1142</v>
      </c>
      <c r="S24" s="684">
        <f>IF(M24="X",'00_DATOS_PMoradores'!$D$4,"-")</f>
        <v>105016.9862</v>
      </c>
      <c r="T24" s="684">
        <f t="shared" si="7"/>
        <v>359788194.72119999</v>
      </c>
      <c r="U24" s="195" t="str">
        <f t="shared" si="0"/>
        <v>x</v>
      </c>
      <c r="V24" s="195">
        <f t="shared" si="8"/>
        <v>1</v>
      </c>
      <c r="W24" s="195">
        <f>IF(U24="x",'00_DATOS_PMoradores'!$B$11,"-")</f>
        <v>2</v>
      </c>
      <c r="X24" s="195">
        <f t="shared" si="9"/>
        <v>2</v>
      </c>
      <c r="Y24" s="684">
        <f>IF(U24="x",'00_DATOS_PMoradores'!$D$5,"-")</f>
        <v>663265.17599999998</v>
      </c>
      <c r="Z24" s="684">
        <f t="shared" si="10"/>
        <v>1326530.352</v>
      </c>
      <c r="AA24" s="195" t="str">
        <f t="shared" si="1"/>
        <v>x</v>
      </c>
      <c r="AB24" s="195">
        <f t="shared" si="11"/>
        <v>1</v>
      </c>
      <c r="AC24" s="195">
        <f>IF(AA24="x",'00_DATOS_PMoradores'!$B$10,"-")</f>
        <v>18</v>
      </c>
      <c r="AD24" s="195">
        <f t="shared" si="12"/>
        <v>18</v>
      </c>
      <c r="AE24" s="684">
        <f>IF(AA24="x",'00_DATOS_PMoradores'!$D$7,"-")</f>
        <v>7738093.7199999997</v>
      </c>
      <c r="AF24" s="684">
        <f t="shared" si="13"/>
        <v>139285686.96000001</v>
      </c>
      <c r="AG24" s="487">
        <f t="shared" si="14"/>
        <v>500400412.03320003</v>
      </c>
      <c r="AH24" s="197"/>
      <c r="AI24" s="322">
        <f>'00_Lote_CNT_Existente'!F25</f>
        <v>2900989137.3401399</v>
      </c>
      <c r="AJ24" s="201">
        <f t="shared" si="15"/>
        <v>3401389549.3733397</v>
      </c>
    </row>
    <row r="25" spans="1:36">
      <c r="A25" s="698" t="s">
        <v>274</v>
      </c>
      <c r="B25" s="698" t="s">
        <v>656</v>
      </c>
      <c r="C25" s="699" t="str">
        <f>'04a_PROPUESTA_MO'!L28</f>
        <v>TRES PROPIETARIOS, NATURALES</v>
      </c>
      <c r="D25" s="698" t="s">
        <v>658</v>
      </c>
      <c r="E25" s="195">
        <v>7</v>
      </c>
      <c r="F25" s="700">
        <v>152.39250000000001</v>
      </c>
      <c r="G25" s="683">
        <f t="shared" si="2"/>
        <v>9.2484246585013597E-4</v>
      </c>
      <c r="H25" s="701">
        <f>'04a_PROPUESTA_MO'!I28</f>
        <v>826</v>
      </c>
      <c r="I25" s="197" t="s">
        <v>433</v>
      </c>
      <c r="J25" s="195">
        <v>1</v>
      </c>
      <c r="K25" s="197"/>
      <c r="L25" s="195" t="s">
        <v>71</v>
      </c>
      <c r="M25" s="195" t="s">
        <v>71</v>
      </c>
      <c r="N25" s="195" t="str">
        <f t="shared" si="3"/>
        <v>x</v>
      </c>
      <c r="O25" s="195" t="str">
        <f t="shared" si="4"/>
        <v>x</v>
      </c>
      <c r="P25" s="195" t="str">
        <f t="shared" si="5"/>
        <v>x</v>
      </c>
      <c r="Q25" s="514">
        <f>IF(P25="x",'00_DATOS_PMoradores'!$B$9,"-")</f>
        <v>3</v>
      </c>
      <c r="R25" s="195">
        <f t="shared" si="6"/>
        <v>826</v>
      </c>
      <c r="S25" s="684">
        <f>IF(M25="X",'00_DATOS_PMoradores'!$D$4,"-")</f>
        <v>105016.9862</v>
      </c>
      <c r="T25" s="684">
        <f t="shared" si="7"/>
        <v>260232091.80360001</v>
      </c>
      <c r="U25" s="195" t="str">
        <f t="shared" si="0"/>
        <v>x</v>
      </c>
      <c r="V25" s="195">
        <f t="shared" si="8"/>
        <v>1</v>
      </c>
      <c r="W25" s="195">
        <f>IF(U25="x",'00_DATOS_PMoradores'!$B$11,"-")</f>
        <v>2</v>
      </c>
      <c r="X25" s="195">
        <f t="shared" si="9"/>
        <v>2</v>
      </c>
      <c r="Y25" s="684">
        <f>IF(U25="x",'00_DATOS_PMoradores'!$D$5,"-")</f>
        <v>663265.17599999998</v>
      </c>
      <c r="Z25" s="684">
        <f t="shared" si="10"/>
        <v>1326530.352</v>
      </c>
      <c r="AA25" s="195" t="str">
        <f t="shared" si="1"/>
        <v>x</v>
      </c>
      <c r="AB25" s="195">
        <f t="shared" si="11"/>
        <v>1</v>
      </c>
      <c r="AC25" s="195">
        <f>IF(AA25="x",'00_DATOS_PMoradores'!$B$10,"-")</f>
        <v>18</v>
      </c>
      <c r="AD25" s="195">
        <f t="shared" si="12"/>
        <v>18</v>
      </c>
      <c r="AE25" s="684">
        <f>IF(AA25="x",'00_DATOS_PMoradores'!$D$7,"-")</f>
        <v>7738093.7199999997</v>
      </c>
      <c r="AF25" s="684">
        <f t="shared" si="13"/>
        <v>139285686.96000001</v>
      </c>
      <c r="AG25" s="487">
        <f t="shared" si="14"/>
        <v>400844309.11559999</v>
      </c>
      <c r="AH25" s="197"/>
      <c r="AI25" s="322">
        <f>'00_Lote_CNT_Existente'!F26</f>
        <v>538707487.5</v>
      </c>
      <c r="AJ25" s="201">
        <f t="shared" si="15"/>
        <v>939551796.61559999</v>
      </c>
    </row>
    <row r="26" spans="1:36">
      <c r="A26" s="698" t="s">
        <v>280</v>
      </c>
      <c r="B26" s="698" t="s">
        <v>663</v>
      </c>
      <c r="C26" s="699" t="str">
        <f>'04a_PROPUESTA_MO'!L29</f>
        <v>GASEOSAS LUX S.A</v>
      </c>
      <c r="D26" s="698" t="s">
        <v>658</v>
      </c>
      <c r="E26" s="195">
        <v>8</v>
      </c>
      <c r="F26" s="700">
        <v>8115.2677000000003</v>
      </c>
      <c r="G26" s="683">
        <f t="shared" si="2"/>
        <v>4.925008901817321E-2</v>
      </c>
      <c r="H26" s="701">
        <f>'04a_PROPUESTA_MO'!I29</f>
        <v>5295.8</v>
      </c>
      <c r="I26" s="197" t="s">
        <v>349</v>
      </c>
      <c r="J26" s="195">
        <v>1</v>
      </c>
      <c r="K26" s="197"/>
      <c r="L26" s="195" t="s">
        <v>71</v>
      </c>
      <c r="M26" s="195" t="s">
        <v>67</v>
      </c>
      <c r="N26" s="195" t="str">
        <f t="shared" si="3"/>
        <v>x</v>
      </c>
      <c r="O26" s="195" t="str">
        <f t="shared" si="4"/>
        <v>x</v>
      </c>
      <c r="P26" s="195" t="str">
        <f t="shared" si="5"/>
        <v>-</v>
      </c>
      <c r="Q26" s="514" t="str">
        <f>IF(P26="x",'00_DATOS_PMoradores'!$B$9,"-")</f>
        <v>-</v>
      </c>
      <c r="R26" s="195" t="str">
        <f t="shared" si="6"/>
        <v>-</v>
      </c>
      <c r="S26" s="684" t="str">
        <f>IF(M26="X",'00_DATOS_PMoradores'!$D$4,"-")</f>
        <v>-</v>
      </c>
      <c r="T26" s="684">
        <f t="shared" si="7"/>
        <v>0</v>
      </c>
      <c r="U26" s="195" t="str">
        <f t="shared" si="0"/>
        <v>-</v>
      </c>
      <c r="V26" s="195">
        <f t="shared" si="8"/>
        <v>1</v>
      </c>
      <c r="W26" s="195" t="str">
        <f>IF(U26="x",'00_DATOS_PMoradores'!$B$11,"-")</f>
        <v>-</v>
      </c>
      <c r="X26" s="195" t="str">
        <f t="shared" si="9"/>
        <v>-</v>
      </c>
      <c r="Y26" s="684" t="str">
        <f>IF(U26="x",'00_DATOS_PMoradores'!$D$5,"-")</f>
        <v>-</v>
      </c>
      <c r="Z26" s="684" t="str">
        <f t="shared" si="10"/>
        <v>-</v>
      </c>
      <c r="AA26" s="195" t="str">
        <f t="shared" si="1"/>
        <v>-</v>
      </c>
      <c r="AB26" s="195">
        <f t="shared" si="11"/>
        <v>1</v>
      </c>
      <c r="AC26" s="195" t="str">
        <f>IF(AA26="x",'00_DATOS_PMoradores'!$B$10,"-")</f>
        <v>-</v>
      </c>
      <c r="AD26" s="195" t="str">
        <f t="shared" si="12"/>
        <v>-</v>
      </c>
      <c r="AE26" s="684" t="str">
        <f>IF(AA26="x",'00_DATOS_PMoradores'!$D$7,"-")</f>
        <v>-</v>
      </c>
      <c r="AF26" s="684" t="str">
        <f t="shared" si="13"/>
        <v>-</v>
      </c>
      <c r="AG26" s="487">
        <f t="shared" si="14"/>
        <v>0</v>
      </c>
      <c r="AH26" s="197"/>
      <c r="AI26" s="322">
        <f>'00_Lote_CNT_Existente'!F27</f>
        <v>28687471319.5</v>
      </c>
      <c r="AJ26" s="201">
        <f t="shared" si="15"/>
        <v>28687471319.5</v>
      </c>
    </row>
    <row r="27" spans="1:36">
      <c r="A27" s="698" t="s">
        <v>281</v>
      </c>
      <c r="B27" s="698" t="s">
        <v>664</v>
      </c>
      <c r="C27" s="699" t="str">
        <f>'04a_PROPUESTA_MO'!L30</f>
        <v>TRES PROPIETARIOS, NATURALES</v>
      </c>
      <c r="D27" s="698" t="s">
        <v>658</v>
      </c>
      <c r="E27" s="195">
        <v>9</v>
      </c>
      <c r="F27" s="700">
        <v>821.42511348200003</v>
      </c>
      <c r="G27" s="683">
        <f t="shared" si="2"/>
        <v>4.9850801546265115E-3</v>
      </c>
      <c r="H27" s="701">
        <f>'04a_PROPUESTA_MO'!I30</f>
        <v>926.3</v>
      </c>
      <c r="I27" s="197" t="s">
        <v>433</v>
      </c>
      <c r="J27" s="195">
        <v>1</v>
      </c>
      <c r="K27" s="197"/>
      <c r="L27" s="195" t="s">
        <v>71</v>
      </c>
      <c r="M27" s="195" t="s">
        <v>71</v>
      </c>
      <c r="N27" s="195" t="str">
        <f t="shared" si="3"/>
        <v>x</v>
      </c>
      <c r="O27" s="195" t="str">
        <f t="shared" si="4"/>
        <v>x</v>
      </c>
      <c r="P27" s="195" t="str">
        <f t="shared" si="5"/>
        <v>x</v>
      </c>
      <c r="Q27" s="514">
        <f>IF(P27="x",'00_DATOS_PMoradores'!$B$9,"-")</f>
        <v>3</v>
      </c>
      <c r="R27" s="195">
        <f t="shared" si="6"/>
        <v>926.3</v>
      </c>
      <c r="S27" s="684">
        <f>IF(M27="X",'00_DATOS_PMoradores'!$D$4,"-")</f>
        <v>105016.9862</v>
      </c>
      <c r="T27" s="684">
        <f t="shared" si="7"/>
        <v>291831702.95117998</v>
      </c>
      <c r="U27" s="195" t="str">
        <f t="shared" si="0"/>
        <v>x</v>
      </c>
      <c r="V27" s="195">
        <f t="shared" si="8"/>
        <v>1</v>
      </c>
      <c r="W27" s="195">
        <f>IF(U27="x",'00_DATOS_PMoradores'!$B$11,"-")</f>
        <v>2</v>
      </c>
      <c r="X27" s="195">
        <f t="shared" si="9"/>
        <v>2</v>
      </c>
      <c r="Y27" s="684">
        <f>IF(U27="x",'00_DATOS_PMoradores'!$D$5,"-")</f>
        <v>663265.17599999998</v>
      </c>
      <c r="Z27" s="684">
        <f t="shared" si="10"/>
        <v>1326530.352</v>
      </c>
      <c r="AA27" s="195" t="str">
        <f t="shared" si="1"/>
        <v>x</v>
      </c>
      <c r="AB27" s="195">
        <f t="shared" si="11"/>
        <v>1</v>
      </c>
      <c r="AC27" s="195">
        <f>IF(AA27="x",'00_DATOS_PMoradores'!$B$10,"-")</f>
        <v>18</v>
      </c>
      <c r="AD27" s="195">
        <f t="shared" si="12"/>
        <v>18</v>
      </c>
      <c r="AE27" s="684">
        <f>IF(AA27="x",'00_DATOS_PMoradores'!$D$7,"-")</f>
        <v>7738093.7199999997</v>
      </c>
      <c r="AF27" s="684">
        <f t="shared" si="13"/>
        <v>139285686.96000001</v>
      </c>
      <c r="AG27" s="487">
        <f t="shared" si="14"/>
        <v>432443920.26318002</v>
      </c>
      <c r="AH27" s="197"/>
      <c r="AI27" s="322">
        <f>'00_Lote_CNT_Existente'!F28</f>
        <v>2903737776.1588702</v>
      </c>
      <c r="AJ27" s="201">
        <f t="shared" si="15"/>
        <v>3336181696.4220505</v>
      </c>
    </row>
    <row r="28" spans="1:36" s="175" customFormat="1">
      <c r="A28" s="687" t="s">
        <v>282</v>
      </c>
      <c r="B28" s="687" t="s">
        <v>665</v>
      </c>
      <c r="C28" s="688" t="str">
        <f>'04a_PROPUESTA_MO'!L31</f>
        <v>GASEOSAS LUX S.A</v>
      </c>
      <c r="D28" s="687" t="s">
        <v>666</v>
      </c>
      <c r="E28" s="689">
        <v>1</v>
      </c>
      <c r="F28" s="690">
        <v>3942.0852054000002</v>
      </c>
      <c r="G28" s="691">
        <f t="shared" si="2"/>
        <v>2.3923800724796006E-2</v>
      </c>
      <c r="H28" s="692">
        <f>'04a_PROPUESTA_MO'!I31</f>
        <v>3609.13</v>
      </c>
      <c r="I28" s="693" t="s">
        <v>349</v>
      </c>
      <c r="J28" s="689">
        <v>1</v>
      </c>
      <c r="K28" s="693"/>
      <c r="L28" s="689" t="s">
        <v>71</v>
      </c>
      <c r="M28" s="689" t="s">
        <v>67</v>
      </c>
      <c r="N28" s="689" t="str">
        <f t="shared" si="3"/>
        <v>x</v>
      </c>
      <c r="O28" s="689" t="str">
        <f t="shared" si="4"/>
        <v>x</v>
      </c>
      <c r="P28" s="689" t="str">
        <f t="shared" si="5"/>
        <v>-</v>
      </c>
      <c r="Q28" s="694" t="str">
        <f>IF(P28="x",'00_DATOS_PMoradores'!$B$9,"-")</f>
        <v>-</v>
      </c>
      <c r="R28" s="689" t="str">
        <f t="shared" si="6"/>
        <v>-</v>
      </c>
      <c r="S28" s="695" t="str">
        <f>IF(M28="X",'00_DATOS_PMoradores'!$D$4,"-")</f>
        <v>-</v>
      </c>
      <c r="T28" s="695">
        <f t="shared" si="7"/>
        <v>0</v>
      </c>
      <c r="U28" s="689" t="str">
        <f t="shared" si="0"/>
        <v>-</v>
      </c>
      <c r="V28" s="689">
        <f t="shared" si="8"/>
        <v>1</v>
      </c>
      <c r="W28" s="689" t="str">
        <f>IF(U28="x",'00_DATOS_PMoradores'!$B$11,"-")</f>
        <v>-</v>
      </c>
      <c r="X28" s="689" t="str">
        <f t="shared" si="9"/>
        <v>-</v>
      </c>
      <c r="Y28" s="695" t="str">
        <f>IF(U28="x",'00_DATOS_PMoradores'!$D$5,"-")</f>
        <v>-</v>
      </c>
      <c r="Z28" s="695" t="str">
        <f t="shared" si="10"/>
        <v>-</v>
      </c>
      <c r="AA28" s="689" t="str">
        <f t="shared" si="1"/>
        <v>-</v>
      </c>
      <c r="AB28" s="689">
        <f t="shared" si="11"/>
        <v>1</v>
      </c>
      <c r="AC28" s="689" t="str">
        <f>IF(AA28="x",'00_DATOS_PMoradores'!$B$10,"-")</f>
        <v>-</v>
      </c>
      <c r="AD28" s="689" t="str">
        <f t="shared" si="12"/>
        <v>-</v>
      </c>
      <c r="AE28" s="695" t="str">
        <f>IF(AA28="x",'00_DATOS_PMoradores'!$D$7,"-")</f>
        <v>-</v>
      </c>
      <c r="AF28" s="695" t="str">
        <f t="shared" si="13"/>
        <v>-</v>
      </c>
      <c r="AG28" s="696">
        <f t="shared" si="14"/>
        <v>0</v>
      </c>
      <c r="AH28" s="693"/>
      <c r="AI28" s="697">
        <f>'00_Lote_CNT_Existente'!F29</f>
        <v>13935271201.089001</v>
      </c>
      <c r="AJ28" s="261">
        <f t="shared" si="15"/>
        <v>13935271201.089001</v>
      </c>
    </row>
    <row r="29" spans="1:36" s="175" customFormat="1">
      <c r="A29" s="687" t="s">
        <v>283</v>
      </c>
      <c r="B29" s="687" t="s">
        <v>667</v>
      </c>
      <c r="C29" s="688" t="str">
        <f>'04a_PROPUESTA_MO'!L32</f>
        <v>GASEOSAS LUX S.A</v>
      </c>
      <c r="D29" s="687" t="s">
        <v>666</v>
      </c>
      <c r="E29" s="689">
        <v>2</v>
      </c>
      <c r="F29" s="690">
        <v>4690.4131096499996</v>
      </c>
      <c r="G29" s="691">
        <f t="shared" si="2"/>
        <v>2.8465267163308623E-2</v>
      </c>
      <c r="H29" s="692">
        <f>'04a_PROPUESTA_MO'!I32</f>
        <v>1412.7</v>
      </c>
      <c r="I29" s="693" t="s">
        <v>349</v>
      </c>
      <c r="J29" s="689">
        <v>1</v>
      </c>
      <c r="K29" s="693"/>
      <c r="L29" s="689" t="s">
        <v>71</v>
      </c>
      <c r="M29" s="689" t="s">
        <v>67</v>
      </c>
      <c r="N29" s="689" t="str">
        <f t="shared" si="3"/>
        <v>x</v>
      </c>
      <c r="O29" s="689" t="str">
        <f t="shared" si="4"/>
        <v>x</v>
      </c>
      <c r="P29" s="689" t="str">
        <f t="shared" si="5"/>
        <v>-</v>
      </c>
      <c r="Q29" s="694" t="str">
        <f>IF(P29="x",'00_DATOS_PMoradores'!$B$9,"-")</f>
        <v>-</v>
      </c>
      <c r="R29" s="689" t="str">
        <f t="shared" si="6"/>
        <v>-</v>
      </c>
      <c r="S29" s="695" t="str">
        <f>IF(M29="X",'00_DATOS_PMoradores'!$D$4,"-")</f>
        <v>-</v>
      </c>
      <c r="T29" s="695">
        <f t="shared" si="7"/>
        <v>0</v>
      </c>
      <c r="U29" s="689" t="str">
        <f t="shared" si="0"/>
        <v>-</v>
      </c>
      <c r="V29" s="689">
        <f t="shared" si="8"/>
        <v>1</v>
      </c>
      <c r="W29" s="689" t="str">
        <f>IF(U29="x",'00_DATOS_PMoradores'!$B$11,"-")</f>
        <v>-</v>
      </c>
      <c r="X29" s="689" t="str">
        <f t="shared" si="9"/>
        <v>-</v>
      </c>
      <c r="Y29" s="695" t="str">
        <f>IF(U29="x",'00_DATOS_PMoradores'!$D$5,"-")</f>
        <v>-</v>
      </c>
      <c r="Z29" s="695" t="str">
        <f t="shared" si="10"/>
        <v>-</v>
      </c>
      <c r="AA29" s="689" t="str">
        <f t="shared" si="1"/>
        <v>-</v>
      </c>
      <c r="AB29" s="689">
        <f t="shared" si="11"/>
        <v>1</v>
      </c>
      <c r="AC29" s="689" t="str">
        <f>IF(AA29="x",'00_DATOS_PMoradores'!$B$10,"-")</f>
        <v>-</v>
      </c>
      <c r="AD29" s="689" t="str">
        <f t="shared" si="12"/>
        <v>-</v>
      </c>
      <c r="AE29" s="695" t="str">
        <f>IF(AA29="x",'00_DATOS_PMoradores'!$D$7,"-")</f>
        <v>-</v>
      </c>
      <c r="AF29" s="695" t="str">
        <f t="shared" si="13"/>
        <v>-</v>
      </c>
      <c r="AG29" s="696">
        <f t="shared" si="14"/>
        <v>0</v>
      </c>
      <c r="AH29" s="693"/>
      <c r="AI29" s="697">
        <f>'00_Lote_CNT_Existente'!F30</f>
        <v>16580610342.612749</v>
      </c>
      <c r="AJ29" s="261">
        <f t="shared" si="15"/>
        <v>16580610342.612749</v>
      </c>
    </row>
    <row r="30" spans="1:36" s="175" customFormat="1">
      <c r="A30" s="687" t="s">
        <v>284</v>
      </c>
      <c r="B30" s="687" t="s">
        <v>668</v>
      </c>
      <c r="C30" s="688" t="str">
        <f>'04a_PROPUESTA_MO'!L33</f>
        <v>GASEOSAS LUX S.A</v>
      </c>
      <c r="D30" s="687" t="s">
        <v>666</v>
      </c>
      <c r="E30" s="689">
        <v>3</v>
      </c>
      <c r="F30" s="690">
        <v>6020.3174501399999</v>
      </c>
      <c r="G30" s="691">
        <f t="shared" si="2"/>
        <v>3.6536215599770855E-2</v>
      </c>
      <c r="H30" s="692">
        <f>'04a_PROPUESTA_MO'!I33</f>
        <v>8004</v>
      </c>
      <c r="I30" s="693" t="s">
        <v>349</v>
      </c>
      <c r="J30" s="689">
        <v>1</v>
      </c>
      <c r="K30" s="693"/>
      <c r="L30" s="689" t="s">
        <v>71</v>
      </c>
      <c r="M30" s="689" t="s">
        <v>67</v>
      </c>
      <c r="N30" s="689" t="str">
        <f t="shared" si="3"/>
        <v>x</v>
      </c>
      <c r="O30" s="689" t="str">
        <f t="shared" si="4"/>
        <v>x</v>
      </c>
      <c r="P30" s="689" t="str">
        <f t="shared" si="5"/>
        <v>-</v>
      </c>
      <c r="Q30" s="694" t="str">
        <f>IF(P30="x",'00_DATOS_PMoradores'!$B$9,"-")</f>
        <v>-</v>
      </c>
      <c r="R30" s="689" t="str">
        <f t="shared" si="6"/>
        <v>-</v>
      </c>
      <c r="S30" s="695" t="str">
        <f>IF(M30="X",'00_DATOS_PMoradores'!$D$4,"-")</f>
        <v>-</v>
      </c>
      <c r="T30" s="695">
        <f t="shared" si="7"/>
        <v>0</v>
      </c>
      <c r="U30" s="689" t="str">
        <f t="shared" si="0"/>
        <v>-</v>
      </c>
      <c r="V30" s="689">
        <f t="shared" si="8"/>
        <v>1</v>
      </c>
      <c r="W30" s="689" t="str">
        <f>IF(U30="x",'00_DATOS_PMoradores'!$B$11,"-")</f>
        <v>-</v>
      </c>
      <c r="X30" s="689" t="str">
        <f t="shared" si="9"/>
        <v>-</v>
      </c>
      <c r="Y30" s="695" t="str">
        <f>IF(U30="x",'00_DATOS_PMoradores'!$D$5,"-")</f>
        <v>-</v>
      </c>
      <c r="Z30" s="695" t="str">
        <f t="shared" si="10"/>
        <v>-</v>
      </c>
      <c r="AA30" s="689" t="str">
        <f t="shared" si="1"/>
        <v>-</v>
      </c>
      <c r="AB30" s="689">
        <f t="shared" si="11"/>
        <v>1</v>
      </c>
      <c r="AC30" s="689" t="str">
        <f>IF(AA30="x",'00_DATOS_PMoradores'!$B$10,"-")</f>
        <v>-</v>
      </c>
      <c r="AD30" s="689" t="str">
        <f t="shared" si="12"/>
        <v>-</v>
      </c>
      <c r="AE30" s="695" t="str">
        <f>IF(AA30="x",'00_DATOS_PMoradores'!$D$7,"-")</f>
        <v>-</v>
      </c>
      <c r="AF30" s="695" t="str">
        <f t="shared" si="13"/>
        <v>-</v>
      </c>
      <c r="AG30" s="696">
        <f t="shared" si="14"/>
        <v>0</v>
      </c>
      <c r="AH30" s="693"/>
      <c r="AI30" s="697">
        <f>'00_Lote_CNT_Existente'!F31</f>
        <v>21281822186.2449</v>
      </c>
      <c r="AJ30" s="261">
        <f t="shared" si="15"/>
        <v>21281822186.2449</v>
      </c>
    </row>
    <row r="31" spans="1:36" s="175" customFormat="1">
      <c r="A31" s="687" t="s">
        <v>280</v>
      </c>
      <c r="B31" s="687" t="s">
        <v>663</v>
      </c>
      <c r="C31" s="688" t="str">
        <f>'04a_PROPUESTA_MO'!L34</f>
        <v>GASEOSAS LUX S.A</v>
      </c>
      <c r="D31" s="687" t="s">
        <v>666</v>
      </c>
      <c r="E31" s="689">
        <v>4</v>
      </c>
      <c r="F31" s="690">
        <v>12385.2089</v>
      </c>
      <c r="G31" s="691">
        <f t="shared" si="2"/>
        <v>7.5163588359958983E-2</v>
      </c>
      <c r="H31" s="692">
        <f>'04a_PROPUESTA_MO'!I34</f>
        <v>5295.8</v>
      </c>
      <c r="I31" s="693" t="s">
        <v>349</v>
      </c>
      <c r="J31" s="689">
        <v>1</v>
      </c>
      <c r="K31" s="693"/>
      <c r="L31" s="689" t="s">
        <v>71</v>
      </c>
      <c r="M31" s="689" t="s">
        <v>67</v>
      </c>
      <c r="N31" s="689" t="str">
        <f t="shared" si="3"/>
        <v>x</v>
      </c>
      <c r="O31" s="689" t="str">
        <f t="shared" si="4"/>
        <v>x</v>
      </c>
      <c r="P31" s="689" t="str">
        <f t="shared" si="5"/>
        <v>-</v>
      </c>
      <c r="Q31" s="694" t="str">
        <f>IF(P31="x",'00_DATOS_PMoradores'!$B$9,"-")</f>
        <v>-</v>
      </c>
      <c r="R31" s="689" t="str">
        <f t="shared" si="6"/>
        <v>-</v>
      </c>
      <c r="S31" s="695" t="str">
        <f>IF(M31="X",'00_DATOS_PMoradores'!$D$4,"-")</f>
        <v>-</v>
      </c>
      <c r="T31" s="695">
        <f t="shared" si="7"/>
        <v>0</v>
      </c>
      <c r="U31" s="689" t="str">
        <f t="shared" si="0"/>
        <v>-</v>
      </c>
      <c r="V31" s="689">
        <f t="shared" si="8"/>
        <v>1</v>
      </c>
      <c r="W31" s="689" t="str">
        <f>IF(U31="x",'00_DATOS_PMoradores'!$B$11,"-")</f>
        <v>-</v>
      </c>
      <c r="X31" s="689" t="str">
        <f t="shared" si="9"/>
        <v>-</v>
      </c>
      <c r="Y31" s="695" t="str">
        <f>IF(U31="x",'00_DATOS_PMoradores'!$D$5,"-")</f>
        <v>-</v>
      </c>
      <c r="Z31" s="695" t="str">
        <f t="shared" si="10"/>
        <v>-</v>
      </c>
      <c r="AA31" s="689" t="str">
        <f t="shared" si="1"/>
        <v>-</v>
      </c>
      <c r="AB31" s="689">
        <f t="shared" si="11"/>
        <v>1</v>
      </c>
      <c r="AC31" s="689" t="str">
        <f>IF(AA31="x",'00_DATOS_PMoradores'!$B$10,"-")</f>
        <v>-</v>
      </c>
      <c r="AD31" s="689" t="str">
        <f t="shared" si="12"/>
        <v>-</v>
      </c>
      <c r="AE31" s="695" t="str">
        <f>IF(AA31="x",'00_DATOS_PMoradores'!$D$7,"-")</f>
        <v>-</v>
      </c>
      <c r="AF31" s="695" t="str">
        <f t="shared" si="13"/>
        <v>-</v>
      </c>
      <c r="AG31" s="696">
        <f t="shared" si="14"/>
        <v>0</v>
      </c>
      <c r="AH31" s="693"/>
      <c r="AI31" s="697">
        <f>'00_Lote_CNT_Existente'!F32</f>
        <v>43781713461.5</v>
      </c>
      <c r="AJ31" s="261">
        <f t="shared" si="15"/>
        <v>43781713461.5</v>
      </c>
    </row>
    <row r="32" spans="1:36">
      <c r="A32" s="698" t="s">
        <v>285</v>
      </c>
      <c r="B32" s="698" t="s">
        <v>669</v>
      </c>
      <c r="C32" s="699" t="str">
        <f>'04a_PROPUESTA_MO'!L35</f>
        <v>CHAID NEME HERMANOS S.A.</v>
      </c>
      <c r="D32" s="698" t="s">
        <v>670</v>
      </c>
      <c r="E32" s="195">
        <v>1</v>
      </c>
      <c r="F32" s="700">
        <v>1559.45903918</v>
      </c>
      <c r="G32" s="683">
        <f t="shared" si="2"/>
        <v>9.4640743027873085E-3</v>
      </c>
      <c r="H32" s="701">
        <f>'04a_PROPUESTA_MO'!I35</f>
        <v>0</v>
      </c>
      <c r="I32" s="197" t="s">
        <v>340</v>
      </c>
      <c r="J32" s="195">
        <v>1</v>
      </c>
      <c r="K32" s="197"/>
      <c r="L32" s="195" t="s">
        <v>71</v>
      </c>
      <c r="M32" s="195" t="s">
        <v>71</v>
      </c>
      <c r="N32" s="195" t="str">
        <f t="shared" si="3"/>
        <v>x</v>
      </c>
      <c r="O32" s="195" t="str">
        <f t="shared" si="4"/>
        <v>x</v>
      </c>
      <c r="P32" s="195" t="str">
        <f t="shared" si="5"/>
        <v>x</v>
      </c>
      <c r="Q32" s="514">
        <f>IF(P32="x",'00_DATOS_PMoradores'!$B$9,"-")</f>
        <v>3</v>
      </c>
      <c r="R32" s="195">
        <f t="shared" si="6"/>
        <v>0</v>
      </c>
      <c r="S32" s="684">
        <f>IF(M32="X",'00_DATOS_PMoradores'!$D$4,"-")</f>
        <v>105016.9862</v>
      </c>
      <c r="T32" s="684">
        <f t="shared" si="7"/>
        <v>0</v>
      </c>
      <c r="U32" s="195" t="str">
        <f t="shared" si="0"/>
        <v>x</v>
      </c>
      <c r="V32" s="195">
        <f t="shared" si="8"/>
        <v>1</v>
      </c>
      <c r="W32" s="195">
        <f>IF(U32="x",'00_DATOS_PMoradores'!$B$11,"-")</f>
        <v>2</v>
      </c>
      <c r="X32" s="195">
        <f t="shared" si="9"/>
        <v>2</v>
      </c>
      <c r="Y32" s="684">
        <f>IF(U32="x",'00_DATOS_PMoradores'!$D$5,"-")</f>
        <v>663265.17599999998</v>
      </c>
      <c r="Z32" s="684">
        <f t="shared" si="10"/>
        <v>1326530.352</v>
      </c>
      <c r="AA32" s="195" t="str">
        <f t="shared" si="1"/>
        <v>x</v>
      </c>
      <c r="AB32" s="195">
        <f t="shared" si="11"/>
        <v>1</v>
      </c>
      <c r="AC32" s="195">
        <f>IF(AA32="x",'00_DATOS_PMoradores'!$B$10,"-")</f>
        <v>18</v>
      </c>
      <c r="AD32" s="195">
        <f t="shared" si="12"/>
        <v>18</v>
      </c>
      <c r="AE32" s="684">
        <f>IF(AA32="x",'00_DATOS_PMoradores'!$D$7,"-")</f>
        <v>7738093.7199999997</v>
      </c>
      <c r="AF32" s="684">
        <f t="shared" si="13"/>
        <v>139285686.96000001</v>
      </c>
      <c r="AG32" s="487">
        <f t="shared" si="14"/>
        <v>140612217.31200001</v>
      </c>
      <c r="AH32" s="197"/>
      <c r="AI32" s="322">
        <f>'00_Lote_CNT_Existente'!F33</f>
        <v>5512687703.5012999</v>
      </c>
      <c r="AJ32" s="201">
        <f t="shared" si="15"/>
        <v>5653299920.8133001</v>
      </c>
    </row>
    <row r="33" spans="1:36">
      <c r="A33" s="698" t="s">
        <v>286</v>
      </c>
      <c r="B33" s="698" t="s">
        <v>671</v>
      </c>
      <c r="C33" s="699" t="str">
        <f>'04a_PROPUESTA_MO'!L36</f>
        <v>BANCOLOMBIA</v>
      </c>
      <c r="D33" s="698" t="s">
        <v>670</v>
      </c>
      <c r="E33" s="195">
        <v>2</v>
      </c>
      <c r="F33" s="700">
        <v>10958.325500000001</v>
      </c>
      <c r="G33" s="683">
        <f t="shared" si="2"/>
        <v>6.650409158592728E-2</v>
      </c>
      <c r="H33" s="701">
        <f>'04a_PROPUESTA_MO'!I36</f>
        <v>30513</v>
      </c>
      <c r="I33" s="197" t="s">
        <v>470</v>
      </c>
      <c r="J33" s="195">
        <v>1</v>
      </c>
      <c r="K33" s="197"/>
      <c r="L33" s="195" t="s">
        <v>71</v>
      </c>
      <c r="M33" s="195" t="s">
        <v>67</v>
      </c>
      <c r="N33" s="195" t="str">
        <f t="shared" si="3"/>
        <v>x</v>
      </c>
      <c r="O33" s="195" t="str">
        <f t="shared" si="4"/>
        <v>x</v>
      </c>
      <c r="P33" s="195" t="str">
        <f t="shared" si="5"/>
        <v>-</v>
      </c>
      <c r="Q33" s="514" t="str">
        <f>IF(P33="x",'00_DATOS_PMoradores'!$B$9,"-")</f>
        <v>-</v>
      </c>
      <c r="R33" s="195" t="str">
        <f t="shared" si="6"/>
        <v>-</v>
      </c>
      <c r="S33" s="684" t="str">
        <f>IF(M33="X",'00_DATOS_PMoradores'!$D$4,"-")</f>
        <v>-</v>
      </c>
      <c r="T33" s="684">
        <f t="shared" si="7"/>
        <v>0</v>
      </c>
      <c r="U33" s="195" t="str">
        <f t="shared" si="0"/>
        <v>-</v>
      </c>
      <c r="V33" s="195">
        <f t="shared" si="8"/>
        <v>1</v>
      </c>
      <c r="W33" s="195" t="str">
        <f>IF(U33="x",'00_DATOS_PMoradores'!$B$11,"-")</f>
        <v>-</v>
      </c>
      <c r="X33" s="195" t="str">
        <f t="shared" si="9"/>
        <v>-</v>
      </c>
      <c r="Y33" s="684" t="str">
        <f>IF(U33="x",'00_DATOS_PMoradores'!$D$5,"-")</f>
        <v>-</v>
      </c>
      <c r="Z33" s="684" t="str">
        <f t="shared" si="10"/>
        <v>-</v>
      </c>
      <c r="AA33" s="195" t="str">
        <f t="shared" si="1"/>
        <v>-</v>
      </c>
      <c r="AB33" s="195">
        <f t="shared" si="11"/>
        <v>1</v>
      </c>
      <c r="AC33" s="195" t="str">
        <f>IF(AA33="x",'00_DATOS_PMoradores'!$B$10,"-")</f>
        <v>-</v>
      </c>
      <c r="AD33" s="195" t="str">
        <f t="shared" si="12"/>
        <v>-</v>
      </c>
      <c r="AE33" s="684" t="str">
        <f>IF(AA33="x",'00_DATOS_PMoradores'!$D$7,"-")</f>
        <v>-</v>
      </c>
      <c r="AF33" s="684" t="str">
        <f t="shared" si="13"/>
        <v>-</v>
      </c>
      <c r="AG33" s="487">
        <f t="shared" si="14"/>
        <v>0</v>
      </c>
      <c r="AH33" s="197"/>
      <c r="AI33" s="322">
        <f>'00_Lote_CNT_Existente'!F34</f>
        <v>38737680642.5</v>
      </c>
      <c r="AJ33" s="201">
        <f t="shared" si="15"/>
        <v>38737680642.5</v>
      </c>
    </row>
    <row r="34" spans="1:36">
      <c r="A34" s="698" t="s">
        <v>287</v>
      </c>
      <c r="B34" s="698" t="s">
        <v>672</v>
      </c>
      <c r="C34" s="699" t="str">
        <f>'04a_PROPUESTA_MO'!L37</f>
        <v>BANCOLOMBIA</v>
      </c>
      <c r="D34" s="698" t="s">
        <v>670</v>
      </c>
      <c r="E34" s="195">
        <v>3</v>
      </c>
      <c r="F34" s="700">
        <v>8572.1148873700004</v>
      </c>
      <c r="G34" s="683">
        <f t="shared" si="2"/>
        <v>5.2022611808231582E-2</v>
      </c>
      <c r="H34" s="701">
        <f>'04a_PROPUESTA_MO'!I37</f>
        <v>5521.3</v>
      </c>
      <c r="I34" s="197" t="s">
        <v>470</v>
      </c>
      <c r="J34" s="195">
        <v>1</v>
      </c>
      <c r="K34" s="197"/>
      <c r="L34" s="195" t="s">
        <v>71</v>
      </c>
      <c r="M34" s="195" t="s">
        <v>67</v>
      </c>
      <c r="N34" s="195" t="str">
        <f t="shared" si="3"/>
        <v>x</v>
      </c>
      <c r="O34" s="195" t="str">
        <f t="shared" si="4"/>
        <v>x</v>
      </c>
      <c r="P34" s="195" t="str">
        <f t="shared" si="5"/>
        <v>-</v>
      </c>
      <c r="Q34" s="514" t="str">
        <f>IF(P34="x",'00_DATOS_PMoradores'!$B$9,"-")</f>
        <v>-</v>
      </c>
      <c r="R34" s="195" t="str">
        <f t="shared" si="6"/>
        <v>-</v>
      </c>
      <c r="S34" s="684" t="str">
        <f>IF(M34="X",'00_DATOS_PMoradores'!$D$4,"-")</f>
        <v>-</v>
      </c>
      <c r="T34" s="684">
        <f t="shared" si="7"/>
        <v>0</v>
      </c>
      <c r="U34" s="195" t="str">
        <f t="shared" si="0"/>
        <v>-</v>
      </c>
      <c r="V34" s="195">
        <f t="shared" si="8"/>
        <v>1</v>
      </c>
      <c r="W34" s="195" t="str">
        <f>IF(U34="x",'00_DATOS_PMoradores'!$B$11,"-")</f>
        <v>-</v>
      </c>
      <c r="X34" s="195" t="str">
        <f t="shared" si="9"/>
        <v>-</v>
      </c>
      <c r="Y34" s="684" t="str">
        <f>IF(U34="x",'00_DATOS_PMoradores'!$D$5,"-")</f>
        <v>-</v>
      </c>
      <c r="Z34" s="684" t="str">
        <f t="shared" si="10"/>
        <v>-</v>
      </c>
      <c r="AA34" s="195" t="str">
        <f t="shared" si="1"/>
        <v>-</v>
      </c>
      <c r="AB34" s="195">
        <f t="shared" si="11"/>
        <v>1</v>
      </c>
      <c r="AC34" s="195" t="str">
        <f>IF(AA34="x",'00_DATOS_PMoradores'!$B$10,"-")</f>
        <v>-</v>
      </c>
      <c r="AD34" s="195" t="str">
        <f t="shared" si="12"/>
        <v>-</v>
      </c>
      <c r="AE34" s="684" t="str">
        <f>IF(AA34="x",'00_DATOS_PMoradores'!$D$7,"-")</f>
        <v>-</v>
      </c>
      <c r="AF34" s="684" t="str">
        <f t="shared" si="13"/>
        <v>-</v>
      </c>
      <c r="AG34" s="487">
        <f t="shared" si="14"/>
        <v>0</v>
      </c>
      <c r="AH34" s="197"/>
      <c r="AI34" s="322">
        <f>'00_Lote_CNT_Existente'!F35</f>
        <v>30302426126.852951</v>
      </c>
      <c r="AJ34" s="201">
        <f t="shared" si="15"/>
        <v>30302426126.852951</v>
      </c>
    </row>
    <row r="35" spans="1:36" s="175" customFormat="1">
      <c r="A35" s="687" t="s">
        <v>286</v>
      </c>
      <c r="B35" s="687" t="s">
        <v>671</v>
      </c>
      <c r="C35" s="688" t="str">
        <f>'04a_PROPUESTA_MO'!L38</f>
        <v>BANCOLOMBIA</v>
      </c>
      <c r="D35" s="687" t="s">
        <v>673</v>
      </c>
      <c r="E35" s="689">
        <v>1</v>
      </c>
      <c r="F35" s="690">
        <v>23967.619699999999</v>
      </c>
      <c r="G35" s="691">
        <f t="shared" si="2"/>
        <v>0.14545514053451641</v>
      </c>
      <c r="H35" s="692">
        <f>'04a_PROPUESTA_MO'!I38</f>
        <v>30513</v>
      </c>
      <c r="I35" s="693" t="s">
        <v>470</v>
      </c>
      <c r="J35" s="689">
        <v>1</v>
      </c>
      <c r="K35" s="693"/>
      <c r="L35" s="689" t="s">
        <v>71</v>
      </c>
      <c r="M35" s="689" t="s">
        <v>67</v>
      </c>
      <c r="N35" s="689" t="str">
        <f t="shared" si="3"/>
        <v>x</v>
      </c>
      <c r="O35" s="689" t="str">
        <f t="shared" si="4"/>
        <v>x</v>
      </c>
      <c r="P35" s="689" t="str">
        <f t="shared" si="5"/>
        <v>-</v>
      </c>
      <c r="Q35" s="694" t="str">
        <f>IF(P35="x",'00_DATOS_PMoradores'!$B$9,"-")</f>
        <v>-</v>
      </c>
      <c r="R35" s="689" t="str">
        <f t="shared" si="6"/>
        <v>-</v>
      </c>
      <c r="S35" s="695" t="str">
        <f>IF(M35="X",'00_DATOS_PMoradores'!$D$4,"-")</f>
        <v>-</v>
      </c>
      <c r="T35" s="695">
        <f t="shared" si="7"/>
        <v>0</v>
      </c>
      <c r="U35" s="689" t="str">
        <f t="shared" si="0"/>
        <v>-</v>
      </c>
      <c r="V35" s="689">
        <f t="shared" si="8"/>
        <v>1</v>
      </c>
      <c r="W35" s="689" t="str">
        <f>IF(U35="x",'00_DATOS_PMoradores'!$B$11,"-")</f>
        <v>-</v>
      </c>
      <c r="X35" s="689" t="str">
        <f t="shared" si="9"/>
        <v>-</v>
      </c>
      <c r="Y35" s="695" t="str">
        <f>IF(U35="x",'00_DATOS_PMoradores'!$D$5,"-")</f>
        <v>-</v>
      </c>
      <c r="Z35" s="695" t="str">
        <f t="shared" si="10"/>
        <v>-</v>
      </c>
      <c r="AA35" s="689" t="str">
        <f t="shared" si="1"/>
        <v>-</v>
      </c>
      <c r="AB35" s="689">
        <f t="shared" si="11"/>
        <v>1</v>
      </c>
      <c r="AC35" s="689" t="str">
        <f>IF(AA35="x",'00_DATOS_PMoradores'!$B$10,"-")</f>
        <v>-</v>
      </c>
      <c r="AD35" s="689" t="str">
        <f t="shared" si="12"/>
        <v>-</v>
      </c>
      <c r="AE35" s="695" t="str">
        <f>IF(AA35="x",'00_DATOS_PMoradores'!$D$7,"-")</f>
        <v>-</v>
      </c>
      <c r="AF35" s="695" t="str">
        <f t="shared" si="13"/>
        <v>-</v>
      </c>
      <c r="AG35" s="696">
        <f t="shared" si="14"/>
        <v>0</v>
      </c>
      <c r="AH35" s="693"/>
      <c r="AI35" s="697">
        <f>'00_Lote_CNT_Existente'!F36</f>
        <v>84725535639.5</v>
      </c>
      <c r="AJ35" s="261">
        <f t="shared" si="15"/>
        <v>84725535639.5</v>
      </c>
    </row>
    <row r="36" spans="1:36">
      <c r="A36" s="698" t="s">
        <v>288</v>
      </c>
      <c r="B36" s="698" t="s">
        <v>674</v>
      </c>
      <c r="C36" s="699" t="str">
        <f>'04a_PROPUESTA_MO'!L39</f>
        <v>BEEPER WEX S.A /  CORPORTAXIS S.A</v>
      </c>
      <c r="D36" s="698" t="s">
        <v>675</v>
      </c>
      <c r="E36" s="195">
        <v>1</v>
      </c>
      <c r="F36" s="700">
        <v>14752.6990159</v>
      </c>
      <c r="G36" s="683">
        <f t="shared" si="2"/>
        <v>8.9531456835538689E-2</v>
      </c>
      <c r="H36" s="701">
        <f>'04a_PROPUESTA_MO'!I39</f>
        <v>27734.6</v>
      </c>
      <c r="I36" s="197" t="s">
        <v>496</v>
      </c>
      <c r="J36" s="195">
        <v>1</v>
      </c>
      <c r="K36" s="197"/>
      <c r="L36" s="195" t="s">
        <v>71</v>
      </c>
      <c r="M36" s="195" t="s">
        <v>71</v>
      </c>
      <c r="N36" s="195" t="str">
        <f t="shared" si="3"/>
        <v>x</v>
      </c>
      <c r="O36" s="195" t="str">
        <f t="shared" si="4"/>
        <v>x</v>
      </c>
      <c r="P36" s="195" t="str">
        <f t="shared" si="5"/>
        <v>x</v>
      </c>
      <c r="Q36" s="514">
        <f>IF(P36="x",'00_DATOS_PMoradores'!$B$9,"-")</f>
        <v>3</v>
      </c>
      <c r="R36" s="195">
        <f t="shared" si="6"/>
        <v>27734.6</v>
      </c>
      <c r="S36" s="684">
        <f>IF(M36="X",'00_DATOS_PMoradores'!$D$4,"-")</f>
        <v>105016.9862</v>
      </c>
      <c r="T36" s="684">
        <f t="shared" si="7"/>
        <v>8737812316.387558</v>
      </c>
      <c r="U36" s="195" t="str">
        <f t="shared" si="0"/>
        <v>x</v>
      </c>
      <c r="V36" s="195">
        <f t="shared" si="8"/>
        <v>1</v>
      </c>
      <c r="W36" s="195">
        <f>IF(U36="x",'00_DATOS_PMoradores'!$B$11,"-")</f>
        <v>2</v>
      </c>
      <c r="X36" s="195">
        <f t="shared" si="9"/>
        <v>2</v>
      </c>
      <c r="Y36" s="684">
        <f>IF(U36="x",'00_DATOS_PMoradores'!$D$5,"-")</f>
        <v>663265.17599999998</v>
      </c>
      <c r="Z36" s="684">
        <f t="shared" si="10"/>
        <v>1326530.352</v>
      </c>
      <c r="AA36" s="195" t="str">
        <f t="shared" si="1"/>
        <v>x</v>
      </c>
      <c r="AB36" s="195">
        <f t="shared" si="11"/>
        <v>1</v>
      </c>
      <c r="AC36" s="195">
        <f>IF(AA36="x",'00_DATOS_PMoradores'!$B$10,"-")</f>
        <v>18</v>
      </c>
      <c r="AD36" s="195">
        <f t="shared" si="12"/>
        <v>18</v>
      </c>
      <c r="AE36" s="684">
        <f>IF(AA36="x",'00_DATOS_PMoradores'!$D$7,"-")</f>
        <v>7738093.7199999997</v>
      </c>
      <c r="AF36" s="684">
        <f t="shared" si="13"/>
        <v>139285686.96000001</v>
      </c>
      <c r="AG36" s="487">
        <f t="shared" si="14"/>
        <v>8878424533.6995564</v>
      </c>
      <c r="AH36" s="197"/>
      <c r="AI36" s="322">
        <f>'00_Lote_CNT_Existente'!F37</f>
        <v>52150791021.206497</v>
      </c>
      <c r="AJ36" s="261">
        <f t="shared" si="15"/>
        <v>61029215554.906052</v>
      </c>
    </row>
    <row r="37" spans="1:36">
      <c r="A37" s="171"/>
      <c r="B37" s="171"/>
      <c r="C37" s="171"/>
      <c r="D37" s="171"/>
    </row>
    <row r="38" spans="1:36">
      <c r="A38" s="171"/>
      <c r="B38" s="171"/>
      <c r="C38" s="171"/>
      <c r="D38" s="171"/>
    </row>
    <row r="39" spans="1:36">
      <c r="A39" s="171"/>
      <c r="B39" s="171"/>
      <c r="C39" s="171"/>
      <c r="D39" s="171"/>
    </row>
  </sheetData>
  <mergeCells count="10">
    <mergeCell ref="A1:J2"/>
    <mergeCell ref="AJ1:AJ3"/>
    <mergeCell ref="L1:M2"/>
    <mergeCell ref="N1:O1"/>
    <mergeCell ref="P1:AG1"/>
    <mergeCell ref="P2:AG2"/>
    <mergeCell ref="AI2:AI3"/>
    <mergeCell ref="P3:T3"/>
    <mergeCell ref="U3:Z3"/>
    <mergeCell ref="AA3:AF3"/>
  </mergeCells>
  <pageMargins left="0.7" right="0.7" top="0.75" bottom="0.75" header="0.3" footer="0.3"/>
  <pageSetup orientation="portrait" horizontalDpi="1200" verticalDpi="1200" r:id="rId1"/>
  <ignoredErrors>
    <ignoredError sqref="Y6:Y36" formula="1"/>
    <ignoredError sqref="D6:D36 A6:B36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8C36D-0E0A-4FA3-8629-7D2D4DC48B6A}">
  <dimension ref="A1:G12"/>
  <sheetViews>
    <sheetView zoomScale="145" zoomScaleNormal="145" workbookViewId="0">
      <selection sqref="A1:A2"/>
    </sheetView>
  </sheetViews>
  <sheetFormatPr defaultColWidth="11.375" defaultRowHeight="13.15"/>
  <cols>
    <col min="1" max="1" width="4.875" style="588" bestFit="1" customWidth="1"/>
    <col min="2" max="2" width="13.25" style="712" bestFit="1" customWidth="1"/>
    <col min="3" max="3" width="17.25" style="712" bestFit="1" customWidth="1"/>
    <col min="4" max="4" width="21.875" style="713" bestFit="1" customWidth="1"/>
    <col min="5" max="5" width="22.75" style="713" customWidth="1"/>
    <col min="6" max="6" width="22" style="713" customWidth="1"/>
    <col min="7" max="7" width="24.875" style="713" customWidth="1"/>
    <col min="8" max="16384" width="11.375" style="586"/>
  </cols>
  <sheetData>
    <row r="1" spans="1:7">
      <c r="A1" s="1554" t="s">
        <v>247</v>
      </c>
      <c r="B1" s="1555" t="s">
        <v>676</v>
      </c>
      <c r="C1" s="1555" t="s">
        <v>260</v>
      </c>
      <c r="D1" s="1553" t="s">
        <v>677</v>
      </c>
      <c r="E1" s="1553"/>
      <c r="F1" s="1553"/>
      <c r="G1" s="1553"/>
    </row>
    <row r="2" spans="1:7">
      <c r="A2" s="1554"/>
      <c r="B2" s="1555"/>
      <c r="C2" s="1555"/>
      <c r="D2" s="702" t="s">
        <v>604</v>
      </c>
      <c r="E2" s="702" t="s">
        <v>211</v>
      </c>
      <c r="F2" s="702" t="s">
        <v>605</v>
      </c>
      <c r="G2" s="702" t="s">
        <v>259</v>
      </c>
    </row>
    <row r="3" spans="1:7" s="706" customFormat="1">
      <c r="A3" s="703"/>
      <c r="B3" s="704" t="s">
        <v>164</v>
      </c>
      <c r="C3" s="704" t="s">
        <v>164</v>
      </c>
      <c r="D3" s="705" t="s">
        <v>176</v>
      </c>
      <c r="E3" s="705" t="s">
        <v>176</v>
      </c>
      <c r="F3" s="705" t="s">
        <v>176</v>
      </c>
      <c r="G3" s="705" t="s">
        <v>176</v>
      </c>
    </row>
    <row r="4" spans="1:7" s="587" customFormat="1">
      <c r="A4" s="707"/>
      <c r="B4" s="708">
        <f>SUM(B5:B12)</f>
        <v>164776.711307171</v>
      </c>
      <c r="C4" s="708">
        <f t="shared" ref="C4:G4" si="0">SUM(C5:C12)</f>
        <v>308974.12999999995</v>
      </c>
      <c r="D4" s="709">
        <f t="shared" si="0"/>
        <v>11360863587.499439</v>
      </c>
      <c r="E4" s="709">
        <f t="shared" si="0"/>
        <v>14591833.872</v>
      </c>
      <c r="F4" s="709">
        <f t="shared" si="0"/>
        <v>1532142556.5600002</v>
      </c>
      <c r="G4" s="709">
        <f t="shared" si="0"/>
        <v>12907597977.931437</v>
      </c>
    </row>
    <row r="5" spans="1:7">
      <c r="A5" s="707">
        <v>1</v>
      </c>
      <c r="B5" s="710">
        <f>SUMIF('05b_MORADORES'!$D$6:$D$36,'05c_Resumen_MORADORES'!A5,'05b_MORADORES'!$F$6:$F$36)</f>
        <v>17268.248534736002</v>
      </c>
      <c r="C5" s="710">
        <f>SUMIF('05b_MORADORES'!$D$6:$D$36,'05c_Resumen_MORADORES'!A5,'05b_MORADORES'!$H$6:$H$36)</f>
        <v>44678.5</v>
      </c>
      <c r="D5" s="711">
        <f>SUMIF('05b_MORADORES'!$D$6:$D$36,'05c_Resumen_MORADORES'!A5,'05b_MORADORES'!$T$6:$T$36)</f>
        <v>0</v>
      </c>
      <c r="E5" s="711">
        <f>SUMIF('05b_MORADORES'!$D$6:$D$36,'05c_Resumen_MORADORES'!A5,'05b_MORADORES'!$Z$6:$Z$36)</f>
        <v>0</v>
      </c>
      <c r="F5" s="711">
        <f>SUMIF('05b_MORADORES'!$D$6:$D$36,'05c_Resumen_MORADORES'!A5,'05b_MORADORES'!$AF$6:$AF$36)</f>
        <v>0</v>
      </c>
      <c r="G5" s="711">
        <f>SUM(D5:F5)</f>
        <v>0</v>
      </c>
    </row>
    <row r="6" spans="1:7">
      <c r="A6" s="707">
        <v>2</v>
      </c>
      <c r="B6" s="710">
        <f>SUMIF('05b_MORADORES'!$D$6:$D$36,'05c_Resumen_MORADORES'!A6,'05b_MORADORES'!$F$6:$F$36)</f>
        <v>15602.531511536001</v>
      </c>
      <c r="C6" s="710">
        <f>SUMIF('05b_MORADORES'!$D$6:$D$36,'05c_Resumen_MORADORES'!A6,'05b_MORADORES'!$H$6:$H$36)</f>
        <v>47091.299999999996</v>
      </c>
      <c r="D6" s="711">
        <f>SUMIF('05b_MORADORES'!$D$6:$D$36,'05c_Resumen_MORADORES'!A6,'05b_MORADORES'!$T$6:$T$36)</f>
        <v>322832717.27742004</v>
      </c>
      <c r="E6" s="711">
        <f>SUMIF('05b_MORADORES'!$D$6:$D$36,'05c_Resumen_MORADORES'!A6,'05b_MORADORES'!$Z$6:$Z$36)</f>
        <v>1326530.352</v>
      </c>
      <c r="F6" s="711">
        <f>SUMIF('05b_MORADORES'!$D$6:$D$36,'05c_Resumen_MORADORES'!A6,'05b_MORADORES'!$AF$6:$AF$36)</f>
        <v>139285686.96000001</v>
      </c>
      <c r="G6" s="711">
        <f t="shared" ref="G6:G12" si="1">SUM(D6:F6)</f>
        <v>463444934.58942008</v>
      </c>
    </row>
    <row r="7" spans="1:7">
      <c r="A7" s="707">
        <v>3</v>
      </c>
      <c r="B7" s="710">
        <f>SUMIF('05b_MORADORES'!$D$6:$D$36,'05c_Resumen_MORADORES'!A7,'05b_MORADORES'!$F$6:$F$36)</f>
        <v>19436.47454042</v>
      </c>
      <c r="C7" s="710">
        <f>SUMIF('05b_MORADORES'!$D$6:$D$36,'05c_Resumen_MORADORES'!A7,'05b_MORADORES'!$H$6:$H$36)</f>
        <v>48617.9</v>
      </c>
      <c r="D7" s="711">
        <f>SUMIF('05b_MORADORES'!$D$6:$D$36,'05c_Resumen_MORADORES'!A7,'05b_MORADORES'!$T$6:$T$36)</f>
        <v>547054484.51304007</v>
      </c>
      <c r="E7" s="711">
        <f>SUMIF('05b_MORADORES'!$D$6:$D$36,'05c_Resumen_MORADORES'!A7,'05b_MORADORES'!$Z$6:$Z$36)</f>
        <v>2653060.7039999999</v>
      </c>
      <c r="F7" s="711">
        <f>SUMIF('05b_MORADORES'!$D$6:$D$36,'05c_Resumen_MORADORES'!A7,'05b_MORADORES'!$AF$6:$AF$36)</f>
        <v>278571373.92000002</v>
      </c>
      <c r="G7" s="711">
        <f t="shared" si="1"/>
        <v>828278919.13704014</v>
      </c>
    </row>
    <row r="8" spans="1:7">
      <c r="A8" s="707">
        <v>4</v>
      </c>
      <c r="B8" s="710">
        <f>SUMIF('05b_MORADORES'!$D$6:$D$36,'05c_Resumen_MORADORES'!A8,'05b_MORADORES'!$F$6:$F$36)</f>
        <v>25621.213912839001</v>
      </c>
      <c r="C8" s="710">
        <f>SUMIF('05b_MORADORES'!$D$6:$D$36,'05c_Resumen_MORADORES'!A8,'05b_MORADORES'!$H$6:$H$36)</f>
        <v>55982.900000000009</v>
      </c>
      <c r="D8" s="711">
        <f>SUMIF('05b_MORADORES'!$D$6:$D$36,'05c_Resumen_MORADORES'!A8,'05b_MORADORES'!$T$6:$T$36)</f>
        <v>1753164069.32142</v>
      </c>
      <c r="E8" s="711">
        <f>SUMIF('05b_MORADORES'!$D$6:$D$36,'05c_Resumen_MORADORES'!A8,'05b_MORADORES'!$Z$6:$Z$36)</f>
        <v>7959182.1119999997</v>
      </c>
      <c r="F8" s="711">
        <f>SUMIF('05b_MORADORES'!$D$6:$D$36,'05c_Resumen_MORADORES'!A8,'05b_MORADORES'!$AF$6:$AF$36)</f>
        <v>835714121.76000011</v>
      </c>
      <c r="G8" s="711">
        <f t="shared" si="1"/>
        <v>2596837373.1934199</v>
      </c>
    </row>
    <row r="9" spans="1:7">
      <c r="A9" s="707">
        <v>5</v>
      </c>
      <c r="B9" s="710">
        <f>SUMIF('05b_MORADORES'!$D$6:$D$36,'05c_Resumen_MORADORES'!A9,'05b_MORADORES'!$F$6:$F$36)</f>
        <v>27038.024665190002</v>
      </c>
      <c r="C9" s="710">
        <f>SUMIF('05b_MORADORES'!$D$6:$D$36,'05c_Resumen_MORADORES'!A9,'05b_MORADORES'!$H$6:$H$36)</f>
        <v>18321.63</v>
      </c>
      <c r="D9" s="711">
        <f>SUMIF('05b_MORADORES'!$D$6:$D$36,'05c_Resumen_MORADORES'!A9,'05b_MORADORES'!$T$6:$T$36)</f>
        <v>0</v>
      </c>
      <c r="E9" s="711">
        <f>SUMIF('05b_MORADORES'!$D$6:$D$36,'05c_Resumen_MORADORES'!A9,'05b_MORADORES'!$Z$6:$Z$36)</f>
        <v>0</v>
      </c>
      <c r="F9" s="711">
        <f>SUMIF('05b_MORADORES'!$D$6:$D$36,'05c_Resumen_MORADORES'!A9,'05b_MORADORES'!$AF$6:$AF$36)</f>
        <v>0</v>
      </c>
      <c r="G9" s="711">
        <f t="shared" si="1"/>
        <v>0</v>
      </c>
    </row>
    <row r="10" spans="1:7">
      <c r="A10" s="707">
        <v>6</v>
      </c>
      <c r="B10" s="710">
        <f>SUMIF('05b_MORADORES'!$D$6:$D$36,'05c_Resumen_MORADORES'!A10,'05b_MORADORES'!$F$6:$F$36)</f>
        <v>21089.89942655</v>
      </c>
      <c r="C10" s="710">
        <f>SUMIF('05b_MORADORES'!$D$6:$D$36,'05c_Resumen_MORADORES'!A10,'05b_MORADORES'!$H$6:$H$36)</f>
        <v>36034.300000000003</v>
      </c>
      <c r="D10" s="711">
        <f>SUMIF('05b_MORADORES'!$D$6:$D$36,'05c_Resumen_MORADORES'!A10,'05b_MORADORES'!$T$6:$T$36)</f>
        <v>0</v>
      </c>
      <c r="E10" s="711">
        <f>SUMIF('05b_MORADORES'!$D$6:$D$36,'05c_Resumen_MORADORES'!A10,'05b_MORADORES'!$Z$6:$Z$36)</f>
        <v>1326530.352</v>
      </c>
      <c r="F10" s="711">
        <f>SUMIF('05b_MORADORES'!$D$6:$D$36,'05c_Resumen_MORADORES'!A10,'05b_MORADORES'!$AF$6:$AF$36)</f>
        <v>139285686.96000001</v>
      </c>
      <c r="G10" s="711">
        <f t="shared" si="1"/>
        <v>140612217.31200001</v>
      </c>
    </row>
    <row r="11" spans="1:7">
      <c r="A11" s="707">
        <v>7</v>
      </c>
      <c r="B11" s="710">
        <f>SUMIF('05b_MORADORES'!$D$6:$D$36,'05c_Resumen_MORADORES'!A11,'05b_MORADORES'!$F$6:$F$36)</f>
        <v>23967.619699999999</v>
      </c>
      <c r="C11" s="710">
        <f>SUMIF('05b_MORADORES'!$D$6:$D$36,'05c_Resumen_MORADORES'!A11,'05b_MORADORES'!$H$6:$H$36)</f>
        <v>30513</v>
      </c>
      <c r="D11" s="711">
        <f>SUMIF('05b_MORADORES'!$D$6:$D$36,'05c_Resumen_MORADORES'!A11,'05b_MORADORES'!$T$6:$T$36)</f>
        <v>0</v>
      </c>
      <c r="E11" s="711">
        <f>SUMIF('05b_MORADORES'!$D$6:$D$36,'05c_Resumen_MORADORES'!A11,'05b_MORADORES'!$Z$6:$Z$36)</f>
        <v>0</v>
      </c>
      <c r="F11" s="711">
        <f>SUMIF('05b_MORADORES'!$D$6:$D$36,'05c_Resumen_MORADORES'!A11,'05b_MORADORES'!$AF$6:$AF$36)</f>
        <v>0</v>
      </c>
      <c r="G11" s="711">
        <f t="shared" si="1"/>
        <v>0</v>
      </c>
    </row>
    <row r="12" spans="1:7">
      <c r="A12" s="707">
        <v>8</v>
      </c>
      <c r="B12" s="710">
        <f>SUMIF('05b_MORADORES'!$D$6:$D$36,'05c_Resumen_MORADORES'!A12,'05b_MORADORES'!$F$6:$F$36)</f>
        <v>14752.6990159</v>
      </c>
      <c r="C12" s="710">
        <f>SUMIF('05b_MORADORES'!$D$6:$D$36,'05c_Resumen_MORADORES'!A12,'05b_MORADORES'!$H$6:$H$36)</f>
        <v>27734.6</v>
      </c>
      <c r="D12" s="711">
        <f>SUMIF('05b_MORADORES'!$D$6:$D$36,'05c_Resumen_MORADORES'!A12,'05b_MORADORES'!$T$6:$T$36)</f>
        <v>8737812316.387558</v>
      </c>
      <c r="E12" s="711">
        <f>SUMIF('05b_MORADORES'!$D$6:$D$36,'05c_Resumen_MORADORES'!A12,'05b_MORADORES'!$Z$6:$Z$36)</f>
        <v>1326530.352</v>
      </c>
      <c r="F12" s="711">
        <f>SUMIF('05b_MORADORES'!$D$6:$D$36,'05c_Resumen_MORADORES'!A12,'05b_MORADORES'!$AF$6:$AF$36)</f>
        <v>139285686.96000001</v>
      </c>
      <c r="G12" s="711">
        <f t="shared" si="1"/>
        <v>8878424533.6995564</v>
      </c>
    </row>
  </sheetData>
  <mergeCells count="4">
    <mergeCell ref="D1:G1"/>
    <mergeCell ref="A1:A2"/>
    <mergeCell ref="B1:B2"/>
    <mergeCell ref="C1:C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78BB9-02B7-44C4-A6AB-203DBF017BAA}">
  <sheetPr>
    <tabColor rgb="FFFFFF66"/>
  </sheetPr>
  <dimension ref="A1:AH18"/>
  <sheetViews>
    <sheetView zoomScale="145" zoomScaleNormal="145" workbookViewId="0">
      <selection activeCell="AC3" sqref="AC3:AF15"/>
    </sheetView>
  </sheetViews>
  <sheetFormatPr defaultColWidth="11.375" defaultRowHeight="13.15"/>
  <cols>
    <col min="1" max="1" width="4.375" style="742" bestFit="1" customWidth="1"/>
    <col min="2" max="2" width="12.25" style="712" bestFit="1" customWidth="1"/>
    <col min="3" max="3" width="10.625" style="712" bestFit="1" customWidth="1"/>
    <col min="4" max="4" width="15.375" style="712" bestFit="1" customWidth="1"/>
    <col min="5" max="5" width="16.75" style="712" bestFit="1" customWidth="1"/>
    <col min="6" max="6" width="11.625" style="712" bestFit="1" customWidth="1"/>
    <col min="7" max="7" width="16.875" style="712" bestFit="1" customWidth="1"/>
    <col min="8" max="8" width="12" style="712" bestFit="1" customWidth="1"/>
    <col min="9" max="9" width="10.625" style="712" bestFit="1" customWidth="1"/>
    <col min="10" max="10" width="5.375" style="712" bestFit="1" customWidth="1"/>
    <col min="11" max="11" width="6" style="712" customWidth="1"/>
    <col min="12" max="13" width="17.25" style="712" bestFit="1" customWidth="1"/>
    <col min="14" max="14" width="17.25" style="744" bestFit="1" customWidth="1"/>
    <col min="15" max="15" width="17.25" style="712" bestFit="1" customWidth="1"/>
    <col min="16" max="16" width="16.25" style="712" bestFit="1" customWidth="1"/>
    <col min="17" max="17" width="17.25" style="712" bestFit="1" customWidth="1"/>
    <col min="18" max="18" width="16.25" style="712" bestFit="1" customWidth="1"/>
    <col min="19" max="19" width="17" style="712" bestFit="1" customWidth="1"/>
    <col min="20" max="20" width="16.25" style="712" bestFit="1" customWidth="1"/>
    <col min="21" max="21" width="17.25" style="712" bestFit="1" customWidth="1"/>
    <col min="22" max="22" width="4.625" style="717" customWidth="1"/>
    <col min="23" max="23" width="23" style="717" bestFit="1" customWidth="1"/>
    <col min="24" max="24" width="5.25" style="712" customWidth="1"/>
    <col min="25" max="25" width="18.875" style="712" bestFit="1" customWidth="1"/>
    <col min="26" max="26" width="17.875" style="712" bestFit="1" customWidth="1"/>
    <col min="27" max="27" width="19.875" style="712" bestFit="1" customWidth="1"/>
    <col min="28" max="28" width="20.75" style="712" bestFit="1" customWidth="1"/>
    <col min="29" max="29" width="13" style="712" bestFit="1" customWidth="1"/>
    <col min="30" max="30" width="18.375" style="712" bestFit="1" customWidth="1"/>
    <col min="31" max="31" width="8" style="712" bestFit="1" customWidth="1"/>
    <col min="32" max="32" width="18.875" style="712" bestFit="1" customWidth="1"/>
    <col min="33" max="33" width="19.875" style="716" bestFit="1" customWidth="1"/>
    <col min="34" max="34" width="11.875" style="717" customWidth="1"/>
    <col min="35" max="16384" width="11.375" style="712"/>
  </cols>
  <sheetData>
    <row r="1" spans="1:34">
      <c r="A1" s="1560" t="s">
        <v>574</v>
      </c>
      <c r="B1" s="1560"/>
      <c r="C1" s="1560"/>
      <c r="D1" s="1560"/>
      <c r="E1" s="1560"/>
      <c r="F1" s="1560"/>
      <c r="G1" s="1560"/>
      <c r="H1" s="1560"/>
      <c r="I1" s="1560"/>
      <c r="J1" s="1560"/>
      <c r="K1" s="755"/>
      <c r="L1" s="1558" t="s">
        <v>678</v>
      </c>
      <c r="M1" s="1558"/>
      <c r="N1" s="1558"/>
      <c r="O1" s="1558"/>
      <c r="P1" s="1558"/>
      <c r="Q1" s="1558"/>
      <c r="R1" s="1558"/>
      <c r="S1" s="1558"/>
      <c r="T1" s="1558"/>
      <c r="U1" s="1558"/>
      <c r="V1" s="714"/>
      <c r="W1" s="1558" t="s">
        <v>679</v>
      </c>
      <c r="Y1" s="1559" t="s">
        <v>680</v>
      </c>
      <c r="Z1" s="1559"/>
      <c r="AA1" s="1559"/>
      <c r="AB1" s="1559"/>
      <c r="AC1" s="1559"/>
      <c r="AD1" s="1559"/>
      <c r="AE1" s="1559"/>
      <c r="AF1" s="1559"/>
    </row>
    <row r="2" spans="1:34">
      <c r="A2" s="1560" t="s">
        <v>247</v>
      </c>
      <c r="B2" s="1558" t="s">
        <v>575</v>
      </c>
      <c r="C2" s="1558" t="s">
        <v>576</v>
      </c>
      <c r="D2" s="1558"/>
      <c r="E2" s="1558"/>
      <c r="F2" s="1558"/>
      <c r="G2" s="1558" t="s">
        <v>681</v>
      </c>
      <c r="H2" s="1558" t="s">
        <v>682</v>
      </c>
      <c r="I2" s="1558" t="s">
        <v>683</v>
      </c>
      <c r="J2" s="1558"/>
      <c r="K2" s="755"/>
      <c r="L2" s="1558"/>
      <c r="M2" s="1558"/>
      <c r="N2" s="1558"/>
      <c r="O2" s="1558"/>
      <c r="P2" s="1558"/>
      <c r="Q2" s="1558"/>
      <c r="R2" s="1558"/>
      <c r="S2" s="1558"/>
      <c r="T2" s="1558"/>
      <c r="U2" s="1558"/>
      <c r="V2" s="718"/>
      <c r="W2" s="1558"/>
      <c r="Y2" s="1557" t="s">
        <v>680</v>
      </c>
      <c r="Z2" s="1557"/>
      <c r="AA2" s="1559" t="s">
        <v>684</v>
      </c>
      <c r="AB2" s="1557" t="s">
        <v>685</v>
      </c>
      <c r="AC2" s="1557"/>
      <c r="AD2" s="1557"/>
      <c r="AE2" s="1557"/>
      <c r="AF2" s="1557"/>
      <c r="AG2" s="719"/>
      <c r="AH2" s="720"/>
    </row>
    <row r="3" spans="1:34">
      <c r="A3" s="1560"/>
      <c r="B3" s="1558"/>
      <c r="C3" s="1558" t="s">
        <v>579</v>
      </c>
      <c r="D3" s="1558" t="s">
        <v>580</v>
      </c>
      <c r="E3" s="1558" t="s">
        <v>581</v>
      </c>
      <c r="F3" s="1558" t="s">
        <v>259</v>
      </c>
      <c r="G3" s="1558"/>
      <c r="H3" s="1558"/>
      <c r="I3" s="1558"/>
      <c r="J3" s="1558"/>
      <c r="K3" s="755"/>
      <c r="L3" s="1556" t="s">
        <v>579</v>
      </c>
      <c r="M3" s="1556"/>
      <c r="N3" s="1556"/>
      <c r="O3" s="1558" t="s">
        <v>580</v>
      </c>
      <c r="P3" s="1558"/>
      <c r="Q3" s="1558"/>
      <c r="R3" s="1556" t="s">
        <v>581</v>
      </c>
      <c r="S3" s="1556"/>
      <c r="T3" s="1556"/>
      <c r="U3" s="1558" t="s">
        <v>259</v>
      </c>
      <c r="V3" s="718"/>
      <c r="W3" s="1558"/>
      <c r="Y3" s="1557" t="s">
        <v>686</v>
      </c>
      <c r="Z3" s="1557" t="s">
        <v>687</v>
      </c>
      <c r="AA3" s="1559"/>
      <c r="AB3" s="1557" t="s">
        <v>688</v>
      </c>
      <c r="AC3" s="1556" t="s">
        <v>689</v>
      </c>
      <c r="AD3" s="1556"/>
      <c r="AE3" s="1556"/>
      <c r="AF3" s="1556"/>
      <c r="AG3" s="719"/>
      <c r="AH3" s="720"/>
    </row>
    <row r="4" spans="1:34">
      <c r="A4" s="1560"/>
      <c r="B4" s="1558"/>
      <c r="C4" s="1558"/>
      <c r="D4" s="1558"/>
      <c r="E4" s="1558"/>
      <c r="F4" s="1558"/>
      <c r="G4" s="1558"/>
      <c r="H4" s="1558"/>
      <c r="I4" s="1558"/>
      <c r="J4" s="1558"/>
      <c r="K4" s="755"/>
      <c r="L4" s="746" t="s">
        <v>595</v>
      </c>
      <c r="M4" s="746" t="s">
        <v>596</v>
      </c>
      <c r="N4" s="759" t="s">
        <v>259</v>
      </c>
      <c r="O4" s="715" t="s">
        <v>595</v>
      </c>
      <c r="P4" s="715" t="s">
        <v>596</v>
      </c>
      <c r="Q4" s="715" t="s">
        <v>259</v>
      </c>
      <c r="R4" s="746" t="s">
        <v>595</v>
      </c>
      <c r="S4" s="746" t="s">
        <v>596</v>
      </c>
      <c r="T4" s="746" t="s">
        <v>259</v>
      </c>
      <c r="U4" s="1558"/>
      <c r="V4" s="718"/>
      <c r="W4" s="1558"/>
      <c r="Y4" s="1557"/>
      <c r="Z4" s="1557"/>
      <c r="AA4" s="1559"/>
      <c r="AB4" s="1557"/>
      <c r="AC4" s="746" t="s">
        <v>690</v>
      </c>
      <c r="AD4" s="746" t="s">
        <v>691</v>
      </c>
      <c r="AE4" s="746" t="s">
        <v>692</v>
      </c>
      <c r="AF4" s="746" t="s">
        <v>693</v>
      </c>
      <c r="AG4" s="719"/>
      <c r="AH4" s="720"/>
    </row>
    <row r="5" spans="1:34" s="723" customFormat="1">
      <c r="A5" s="750"/>
      <c r="B5" s="722"/>
      <c r="C5" s="722"/>
      <c r="D5" s="722"/>
      <c r="E5" s="722"/>
      <c r="F5" s="722"/>
      <c r="G5" s="722"/>
      <c r="H5" s="722"/>
      <c r="I5" s="722"/>
      <c r="J5" s="747"/>
      <c r="K5" s="756"/>
      <c r="L5" s="760">
        <f>'00_Datos_General'!$C$23</f>
        <v>3535000</v>
      </c>
      <c r="M5" s="761">
        <f>'00_Datos_General'!C17</f>
        <v>3500000</v>
      </c>
      <c r="N5" s="762"/>
      <c r="O5" s="722">
        <f>'00_Datos_General'!$C$23</f>
        <v>3535000</v>
      </c>
      <c r="P5" s="747">
        <f>'00_Datos_General'!C16</f>
        <v>450000</v>
      </c>
      <c r="Q5" s="747"/>
      <c r="R5" s="722">
        <f>'00_Datos_General'!$C$23</f>
        <v>3535000</v>
      </c>
      <c r="S5" s="747">
        <f>'00_Datos_General'!C16</f>
        <v>450000</v>
      </c>
      <c r="T5" s="747"/>
      <c r="U5" s="722"/>
      <c r="V5" s="721"/>
      <c r="W5" s="722"/>
      <c r="Y5" s="747"/>
      <c r="Z5" s="747"/>
      <c r="AA5" s="747"/>
      <c r="AB5" s="747"/>
      <c r="AC5" s="747"/>
      <c r="AD5" s="747"/>
      <c r="AE5" s="747"/>
      <c r="AF5" s="747"/>
      <c r="AG5" s="724"/>
      <c r="AH5" s="725"/>
    </row>
    <row r="6" spans="1:34" s="726" customFormat="1">
      <c r="A6" s="751"/>
      <c r="B6" s="748" t="s">
        <v>164</v>
      </c>
      <c r="C6" s="748" t="s">
        <v>164</v>
      </c>
      <c r="D6" s="748" t="s">
        <v>164</v>
      </c>
      <c r="E6" s="748" t="s">
        <v>164</v>
      </c>
      <c r="F6" s="748" t="s">
        <v>164</v>
      </c>
      <c r="G6" s="748" t="s">
        <v>164</v>
      </c>
      <c r="H6" s="748" t="s">
        <v>164</v>
      </c>
      <c r="I6" s="748" t="s">
        <v>164</v>
      </c>
      <c r="J6" s="748" t="s">
        <v>220</v>
      </c>
      <c r="K6" s="757"/>
      <c r="L6" s="748" t="s">
        <v>176</v>
      </c>
      <c r="M6" s="748" t="s">
        <v>176</v>
      </c>
      <c r="N6" s="763" t="s">
        <v>176</v>
      </c>
      <c r="O6" s="748" t="s">
        <v>176</v>
      </c>
      <c r="P6" s="748" t="s">
        <v>176</v>
      </c>
      <c r="Q6" s="748" t="s">
        <v>176</v>
      </c>
      <c r="R6" s="748" t="s">
        <v>176</v>
      </c>
      <c r="S6" s="748" t="s">
        <v>176</v>
      </c>
      <c r="T6" s="748" t="s">
        <v>176</v>
      </c>
      <c r="U6" s="748"/>
      <c r="V6" s="721"/>
      <c r="W6" s="722"/>
      <c r="Y6" s="748"/>
      <c r="Z6" s="748"/>
      <c r="AA6" s="748"/>
      <c r="AB6" s="748"/>
      <c r="AC6" s="748"/>
      <c r="AD6" s="748"/>
      <c r="AE6" s="748"/>
      <c r="AF6" s="748"/>
      <c r="AG6" s="719"/>
      <c r="AH6" s="721"/>
    </row>
    <row r="7" spans="1:34" s="729" customFormat="1">
      <c r="A7" s="752"/>
      <c r="B7" s="731">
        <f>SUM(B8:B15)</f>
        <v>164776.711307171</v>
      </c>
      <c r="C7" s="731">
        <f t="shared" ref="C7:J7" si="0">SUM(C8:C15)</f>
        <v>29501.324060209015</v>
      </c>
      <c r="D7" s="731">
        <f t="shared" si="0"/>
        <v>72340.479065592706</v>
      </c>
      <c r="E7" s="731">
        <f t="shared" si="0"/>
        <v>5263.0592238594272</v>
      </c>
      <c r="F7" s="731">
        <f t="shared" si="0"/>
        <v>107104.86234966114</v>
      </c>
      <c r="G7" s="731">
        <f t="shared" si="0"/>
        <v>57671.848957509857</v>
      </c>
      <c r="H7" s="731">
        <f t="shared" si="0"/>
        <v>13723.80470659296</v>
      </c>
      <c r="I7" s="731">
        <f t="shared" si="0"/>
        <v>43948.044250916901</v>
      </c>
      <c r="J7" s="753">
        <f t="shared" si="0"/>
        <v>1</v>
      </c>
      <c r="K7" s="758"/>
      <c r="L7" s="764">
        <f>SUM(L8:L15)</f>
        <v>104287180552.83887</v>
      </c>
      <c r="M7" s="764">
        <f>SUM(M8:M15)</f>
        <v>103254634210.73157</v>
      </c>
      <c r="N7" s="764">
        <f>SUM(N8:N15)</f>
        <v>207541814763.57043</v>
      </c>
      <c r="O7" s="764">
        <f t="shared" ref="O7:U7" si="1">SUM(O8:O15)</f>
        <v>255723593496.87018</v>
      </c>
      <c r="P7" s="764">
        <f t="shared" si="1"/>
        <v>32553215579.516716</v>
      </c>
      <c r="Q7" s="764">
        <f t="shared" si="1"/>
        <v>288276809076.3869</v>
      </c>
      <c r="R7" s="764">
        <f t="shared" si="1"/>
        <v>18604914356.343075</v>
      </c>
      <c r="S7" s="764">
        <f t="shared" si="1"/>
        <v>2368376650.736742</v>
      </c>
      <c r="T7" s="764">
        <f t="shared" si="1"/>
        <v>20973291007.079819</v>
      </c>
      <c r="U7" s="765">
        <f t="shared" si="1"/>
        <v>516791914847.03717</v>
      </c>
      <c r="V7" s="727"/>
      <c r="W7" s="728">
        <f>SUM(W8:W15)</f>
        <v>138176226440.98502</v>
      </c>
      <c r="Y7" s="733">
        <f>SUM(Y8:Y15)</f>
        <v>12907597977.931437</v>
      </c>
      <c r="Z7" s="733">
        <v>1600000000</v>
      </c>
      <c r="AA7" s="749">
        <f t="shared" ref="AA7:AA15" si="2">SUM(U7,Y7,Z7)</f>
        <v>531299512824.96863</v>
      </c>
      <c r="AB7" s="730">
        <f>'10_Costos_Renobo'!C4</f>
        <v>9000000000</v>
      </c>
      <c r="AC7" s="731">
        <f>F7</f>
        <v>107104.86234966114</v>
      </c>
      <c r="AD7" s="731">
        <f>'00_Datos_General'!C23</f>
        <v>3535000</v>
      </c>
      <c r="AE7" s="732">
        <v>6.4000000000000001E-2</v>
      </c>
      <c r="AF7" s="733">
        <f>PRODUCT(AC7,AD7,AE7)</f>
        <v>24231404057.987335</v>
      </c>
      <c r="AG7" s="734">
        <f>SUM(AA7,AB7,AF7)</f>
        <v>564530916882.95593</v>
      </c>
      <c r="AH7" s="735"/>
    </row>
    <row r="8" spans="1:34">
      <c r="A8" s="752">
        <v>1</v>
      </c>
      <c r="B8" s="739">
        <f>SUMIF('04a_PROPUESTA_MO'!$R$9:$R$42,'06_CARGAS'!A8,'04a_PROPUESTA_MO'!$T$9:$T$42)</f>
        <v>17268.248534736002</v>
      </c>
      <c r="C8" s="739">
        <f>'04c_Resumen_MO'!C6</f>
        <v>4744.8667466265179</v>
      </c>
      <c r="D8" s="739">
        <f>'04c_Resumen_MO'!D6</f>
        <v>8246.4926012466458</v>
      </c>
      <c r="E8" s="739">
        <f>'04c_Resumen_MO'!E6</f>
        <v>0</v>
      </c>
      <c r="F8" s="739">
        <f>SUM(C8:E8)</f>
        <v>12991.359347873164</v>
      </c>
      <c r="G8" s="739">
        <f>'04c_Resumen_MO'!G6</f>
        <v>4276.889186862838</v>
      </c>
      <c r="H8" s="739">
        <f>'04c_Resumen_MO'!H6</f>
        <v>1355.7527193899618</v>
      </c>
      <c r="I8" s="739">
        <f>'04c_Resumen_MO'!I6</f>
        <v>2921.1364674728761</v>
      </c>
      <c r="J8" s="754">
        <f>I8/$I$7</f>
        <v>6.6467951356263863E-2</v>
      </c>
      <c r="K8" s="755"/>
      <c r="L8" s="766">
        <f>C8*$L$5</f>
        <v>16773103949.324741</v>
      </c>
      <c r="M8" s="766">
        <f>C8*$M$5</f>
        <v>16607033613.192812</v>
      </c>
      <c r="N8" s="764">
        <f>SUM(L8:M8)</f>
        <v>33380137562.517555</v>
      </c>
      <c r="O8" s="766">
        <f>D8*$O$5</f>
        <v>29151351345.406895</v>
      </c>
      <c r="P8" s="766">
        <f>D8*$P$5</f>
        <v>3710921670.5609908</v>
      </c>
      <c r="Q8" s="764">
        <f>SUM(O8:P8)</f>
        <v>32862273015.967884</v>
      </c>
      <c r="R8" s="766">
        <f>E8*$R$5</f>
        <v>0</v>
      </c>
      <c r="S8" s="766">
        <f>E8*$S$5</f>
        <v>0</v>
      </c>
      <c r="T8" s="766">
        <f>SUM(R8:S8)</f>
        <v>0</v>
      </c>
      <c r="U8" s="767">
        <f>SUM(N8,Q8,T8)</f>
        <v>66242410578.485443</v>
      </c>
      <c r="V8" s="736"/>
      <c r="W8" s="737">
        <f>SUM(M8,P8,S8)</f>
        <v>20317955283.753803</v>
      </c>
      <c r="Y8" s="738">
        <f>'05c_Resumen_MORADORES'!G5</f>
        <v>0</v>
      </c>
      <c r="Z8" s="738">
        <f>J8*$Z$7</f>
        <v>106348722.17002217</v>
      </c>
      <c r="AA8" s="738">
        <f t="shared" si="2"/>
        <v>66348759300.655464</v>
      </c>
      <c r="AB8" s="738"/>
      <c r="AC8" s="739"/>
      <c r="AD8" s="739"/>
      <c r="AE8" s="739"/>
      <c r="AF8" s="739">
        <v>2539399556.524137</v>
      </c>
      <c r="AG8" s="740"/>
      <c r="AH8" s="741"/>
    </row>
    <row r="9" spans="1:34">
      <c r="A9" s="752">
        <v>2</v>
      </c>
      <c r="B9" s="739">
        <f>SUMIF('04a_PROPUESTA_MO'!$R$9:$R$42,'06_CARGAS'!A9,'04a_PROPUESTA_MO'!$T$9:$T$42)</f>
        <v>15602.531511536001</v>
      </c>
      <c r="C9" s="739">
        <f>'04c_Resumen_MO'!C7</f>
        <v>1166.9775073831811</v>
      </c>
      <c r="D9" s="739">
        <f>'04c_Resumen_MO'!D7</f>
        <v>7535.2101041922524</v>
      </c>
      <c r="E9" s="739">
        <f>'04c_Resumen_MO'!E7</f>
        <v>0</v>
      </c>
      <c r="F9" s="739">
        <f t="shared" ref="F9:F15" si="3">SUM(C9:E9)</f>
        <v>8702.187611575433</v>
      </c>
      <c r="G9" s="739">
        <f>'04c_Resumen_MO'!G7</f>
        <v>6900.3438999605678</v>
      </c>
      <c r="H9" s="739">
        <f>'04c_Resumen_MO'!H7</f>
        <v>1807.5715171192551</v>
      </c>
      <c r="I9" s="739">
        <f>'04c_Resumen_MO'!I7</f>
        <v>5092.7723828413127</v>
      </c>
      <c r="J9" s="754">
        <f t="shared" ref="J9:J15" si="4">I9/$I$7</f>
        <v>0.11588166139463785</v>
      </c>
      <c r="K9" s="755"/>
      <c r="L9" s="766">
        <f t="shared" ref="L9:L15" si="5">C9*$L$5</f>
        <v>4125265488.599545</v>
      </c>
      <c r="M9" s="766">
        <f t="shared" ref="M9:M15" si="6">C9*$M$5</f>
        <v>4084421275.8411336</v>
      </c>
      <c r="N9" s="764">
        <f t="shared" ref="N9:N15" si="7">SUM(L9:M9)</f>
        <v>8209686764.4406786</v>
      </c>
      <c r="O9" s="766">
        <f t="shared" ref="O9:O15" si="8">D9*$O$5</f>
        <v>26636967718.319611</v>
      </c>
      <c r="P9" s="766">
        <f t="shared" ref="P9:P15" si="9">D9*$P$5</f>
        <v>3390844546.8865137</v>
      </c>
      <c r="Q9" s="764">
        <f t="shared" ref="Q9:Q15" si="10">SUM(O9:P9)</f>
        <v>30027812265.206123</v>
      </c>
      <c r="R9" s="766">
        <f t="shared" ref="R9:R15" si="11">E9*$R$5</f>
        <v>0</v>
      </c>
      <c r="S9" s="766">
        <f t="shared" ref="S9:S15" si="12">E9*$S$5</f>
        <v>0</v>
      </c>
      <c r="T9" s="766">
        <f t="shared" ref="T9:T15" si="13">SUM(R9:S9)</f>
        <v>0</v>
      </c>
      <c r="U9" s="767">
        <f t="shared" ref="U9:U15" si="14">SUM(N9,Q9,T9)</f>
        <v>38237499029.646805</v>
      </c>
      <c r="V9" s="736"/>
      <c r="W9" s="737">
        <f t="shared" ref="W9:W15" si="15">SUM(M9,P9,S9)</f>
        <v>7475265822.7276478</v>
      </c>
      <c r="Y9" s="738">
        <f>'05c_Resumen_MORADORES'!G6</f>
        <v>463444934.58942008</v>
      </c>
      <c r="Z9" s="738">
        <f t="shared" ref="Z9:Z15" si="16">J9*$Z$7</f>
        <v>185410658.23142055</v>
      </c>
      <c r="AA9" s="738">
        <f t="shared" si="2"/>
        <v>38886354622.467644</v>
      </c>
      <c r="AB9" s="738"/>
      <c r="AC9" s="739"/>
      <c r="AD9" s="739"/>
      <c r="AE9" s="739"/>
      <c r="AF9" s="739">
        <v>2294445873.9604378</v>
      </c>
      <c r="AG9" s="740"/>
      <c r="AH9" s="741"/>
    </row>
    <row r="10" spans="1:34">
      <c r="A10" s="752">
        <v>3</v>
      </c>
      <c r="B10" s="739">
        <f>SUMIF('04a_PROPUESTA_MO'!$R$9:$R$42,'06_CARGAS'!A10,'04a_PROPUESTA_MO'!$T$9:$T$42)</f>
        <v>19436.47454042</v>
      </c>
      <c r="C10" s="739">
        <f>'04c_Resumen_MO'!C8</f>
        <v>2936.0801443705127</v>
      </c>
      <c r="D10" s="739">
        <f>'04c_Resumen_MO'!D8</f>
        <v>9141.2862344640271</v>
      </c>
      <c r="E10" s="739">
        <f>'04c_Resumen_MO'!E8</f>
        <v>0</v>
      </c>
      <c r="F10" s="739">
        <f t="shared" si="3"/>
        <v>12077.36637883454</v>
      </c>
      <c r="G10" s="739">
        <f>'04c_Resumen_MO'!G8</f>
        <v>7359.10816158546</v>
      </c>
      <c r="H10" s="739">
        <f>'04c_Resumen_MO'!H8</f>
        <v>1927.30540823921</v>
      </c>
      <c r="I10" s="739">
        <f>'04c_Resumen_MO'!I8</f>
        <v>5431.80275334625</v>
      </c>
      <c r="J10" s="754">
        <f t="shared" si="4"/>
        <v>0.12359600628264419</v>
      </c>
      <c r="K10" s="755"/>
      <c r="L10" s="766">
        <f t="shared" si="5"/>
        <v>10379043310.349762</v>
      </c>
      <c r="M10" s="766">
        <f t="shared" si="6"/>
        <v>10276280505.296795</v>
      </c>
      <c r="N10" s="764">
        <f t="shared" si="7"/>
        <v>20655323815.646557</v>
      </c>
      <c r="O10" s="766">
        <f t="shared" si="8"/>
        <v>32314446838.830338</v>
      </c>
      <c r="P10" s="766">
        <f t="shared" si="9"/>
        <v>4113578805.508812</v>
      </c>
      <c r="Q10" s="764">
        <f t="shared" si="10"/>
        <v>36428025644.339149</v>
      </c>
      <c r="R10" s="766">
        <f t="shared" si="11"/>
        <v>0</v>
      </c>
      <c r="S10" s="766">
        <f t="shared" si="12"/>
        <v>0</v>
      </c>
      <c r="T10" s="766">
        <f t="shared" si="13"/>
        <v>0</v>
      </c>
      <c r="U10" s="767">
        <f t="shared" si="14"/>
        <v>57083349459.985703</v>
      </c>
      <c r="V10" s="736"/>
      <c r="W10" s="737">
        <f t="shared" si="15"/>
        <v>14389859310.805607</v>
      </c>
      <c r="Y10" s="738">
        <f>'05c_Resumen_MORADORES'!G7</f>
        <v>828278919.13704014</v>
      </c>
      <c r="Z10" s="738">
        <f t="shared" si="16"/>
        <v>197753610.05223072</v>
      </c>
      <c r="AA10" s="738">
        <f t="shared" si="2"/>
        <v>58109381989.174973</v>
      </c>
      <c r="AB10" s="738"/>
      <c r="AC10" s="739"/>
      <c r="AD10" s="739"/>
      <c r="AE10" s="739"/>
      <c r="AF10" s="739">
        <v>2858250200.0160031</v>
      </c>
      <c r="AG10" s="740"/>
      <c r="AH10" s="741"/>
    </row>
    <row r="11" spans="1:34">
      <c r="A11" s="752">
        <v>4</v>
      </c>
      <c r="B11" s="739">
        <f>SUMIF('04a_PROPUESTA_MO'!$R$9:$R$42,'06_CARGAS'!A11,'04a_PROPUESTA_MO'!$T$9:$T$42)</f>
        <v>25621.213912839001</v>
      </c>
      <c r="C11" s="739">
        <f>'04c_Resumen_MO'!C9</f>
        <v>6313.2384713358988</v>
      </c>
      <c r="D11" s="739">
        <f>'04c_Resumen_MO'!D9</f>
        <v>8869.4347907373231</v>
      </c>
      <c r="E11" s="739">
        <f>'04c_Resumen_MO'!E9</f>
        <v>0</v>
      </c>
      <c r="F11" s="739">
        <f t="shared" si="3"/>
        <v>15182.673262073222</v>
      </c>
      <c r="G11" s="739">
        <f>'04c_Resumen_MO'!G9</f>
        <v>10438.540650765779</v>
      </c>
      <c r="H11" s="739">
        <f>'04c_Resumen_MO'!H9</f>
        <v>2305.0707388953133</v>
      </c>
      <c r="I11" s="739">
        <f>'04c_Resumen_MO'!I9</f>
        <v>8133.4699118704657</v>
      </c>
      <c r="J11" s="754">
        <f t="shared" si="4"/>
        <v>0.18507012201574305</v>
      </c>
      <c r="K11" s="755"/>
      <c r="L11" s="766">
        <f t="shared" si="5"/>
        <v>22317297996.172401</v>
      </c>
      <c r="M11" s="766">
        <f t="shared" si="6"/>
        <v>22096334649.675644</v>
      </c>
      <c r="N11" s="764">
        <f t="shared" si="7"/>
        <v>44413632645.848045</v>
      </c>
      <c r="O11" s="766">
        <f t="shared" si="8"/>
        <v>31353451985.256435</v>
      </c>
      <c r="P11" s="766">
        <f t="shared" si="9"/>
        <v>3991245655.8317952</v>
      </c>
      <c r="Q11" s="764">
        <f t="shared" si="10"/>
        <v>35344697641.088234</v>
      </c>
      <c r="R11" s="766">
        <f t="shared" si="11"/>
        <v>0</v>
      </c>
      <c r="S11" s="766">
        <f t="shared" si="12"/>
        <v>0</v>
      </c>
      <c r="T11" s="766">
        <f t="shared" si="13"/>
        <v>0</v>
      </c>
      <c r="U11" s="767">
        <f t="shared" si="14"/>
        <v>79758330286.936279</v>
      </c>
      <c r="V11" s="736"/>
      <c r="W11" s="737">
        <f t="shared" si="15"/>
        <v>26087580305.507439</v>
      </c>
      <c r="Y11" s="738">
        <f>'05c_Resumen_MORADORES'!G8</f>
        <v>2596837373.1934199</v>
      </c>
      <c r="Z11" s="738">
        <f t="shared" si="16"/>
        <v>296112195.22518885</v>
      </c>
      <c r="AA11" s="738">
        <f t="shared" si="2"/>
        <v>82651279855.354889</v>
      </c>
      <c r="AB11" s="738"/>
      <c r="AC11" s="739"/>
      <c r="AD11" s="739"/>
      <c r="AE11" s="739"/>
      <c r="AF11" s="739">
        <v>3767753233.1664515</v>
      </c>
      <c r="AG11" s="740"/>
      <c r="AH11" s="741"/>
    </row>
    <row r="12" spans="1:34">
      <c r="A12" s="752">
        <v>5</v>
      </c>
      <c r="B12" s="739">
        <f>SUMIF('04a_PROPUESTA_MO'!$R$9:$R$42,'06_CARGAS'!A12,'04a_PROPUESTA_MO'!$T$9:$T$42)</f>
        <v>27038.024665190002</v>
      </c>
      <c r="C12" s="739">
        <f>'04c_Resumen_MO'!C10</f>
        <v>2870.317660930994</v>
      </c>
      <c r="D12" s="739">
        <f>'04c_Resumen_MO'!D10</f>
        <v>13279.248504517975</v>
      </c>
      <c r="E12" s="739">
        <f>'04c_Resumen_MO'!E10</f>
        <v>2806.2957185564351</v>
      </c>
      <c r="F12" s="739">
        <f t="shared" si="3"/>
        <v>18955.861884005404</v>
      </c>
      <c r="G12" s="739">
        <f>'04c_Resumen_MO'!G10</f>
        <v>8082.1627811845974</v>
      </c>
      <c r="H12" s="739">
        <f>'04c_Resumen_MO'!H10</f>
        <v>2084.0473711146669</v>
      </c>
      <c r="I12" s="739">
        <f>'04c_Resumen_MO'!I10</f>
        <v>5998.1154100699305</v>
      </c>
      <c r="J12" s="754">
        <f t="shared" si="4"/>
        <v>0.13648196438103818</v>
      </c>
      <c r="K12" s="755"/>
      <c r="L12" s="766">
        <f t="shared" si="5"/>
        <v>10146572931.391064</v>
      </c>
      <c r="M12" s="766">
        <f t="shared" si="6"/>
        <v>10046111813.258478</v>
      </c>
      <c r="N12" s="764">
        <f t="shared" si="7"/>
        <v>20192684744.649544</v>
      </c>
      <c r="O12" s="766">
        <f t="shared" si="8"/>
        <v>46942143463.471039</v>
      </c>
      <c r="P12" s="766">
        <f t="shared" si="9"/>
        <v>5975661827.0330887</v>
      </c>
      <c r="Q12" s="764">
        <f t="shared" si="10"/>
        <v>52917805290.504128</v>
      </c>
      <c r="R12" s="766">
        <f t="shared" si="11"/>
        <v>9920255365.0969982</v>
      </c>
      <c r="S12" s="766">
        <f t="shared" si="12"/>
        <v>1262833073.3503957</v>
      </c>
      <c r="T12" s="766">
        <f t="shared" si="13"/>
        <v>11183088438.447393</v>
      </c>
      <c r="U12" s="767">
        <f t="shared" si="14"/>
        <v>84293578473.601059</v>
      </c>
      <c r="V12" s="736"/>
      <c r="W12" s="737">
        <f t="shared" si="15"/>
        <v>17284606713.641964</v>
      </c>
      <c r="Y12" s="738">
        <f>'05c_Resumen_MORADORES'!G9</f>
        <v>0</v>
      </c>
      <c r="Z12" s="738">
        <f t="shared" si="16"/>
        <v>218371143.00966111</v>
      </c>
      <c r="AA12" s="738">
        <f t="shared" si="2"/>
        <v>84511949616.610718</v>
      </c>
      <c r="AB12" s="738"/>
      <c r="AC12" s="739"/>
      <c r="AD12" s="739"/>
      <c r="AE12" s="739"/>
      <c r="AF12" s="739">
        <v>3976103755.1641798</v>
      </c>
      <c r="AG12" s="740"/>
      <c r="AH12" s="741"/>
    </row>
    <row r="13" spans="1:34">
      <c r="A13" s="752">
        <v>6</v>
      </c>
      <c r="B13" s="739">
        <f>SUMIF('04a_PROPUESTA_MO'!$R$9:$R$42,'06_CARGAS'!A13,'04a_PROPUESTA_MO'!$T$9:$T$42)</f>
        <v>21089.89942655</v>
      </c>
      <c r="C13" s="739">
        <f>'04c_Resumen_MO'!C11</f>
        <v>5562.2636057221716</v>
      </c>
      <c r="D13" s="739">
        <f>'04c_Resumen_MO'!D11</f>
        <v>6942.1096135623484</v>
      </c>
      <c r="E13" s="739">
        <f>'04c_Resumen_MO'!E11</f>
        <v>0</v>
      </c>
      <c r="F13" s="739">
        <f t="shared" si="3"/>
        <v>12504.37321928452</v>
      </c>
      <c r="G13" s="739">
        <f>'04c_Resumen_MO'!G11</f>
        <v>8585.5262072654805</v>
      </c>
      <c r="H13" s="739">
        <f>'04c_Resumen_MO'!H11</f>
        <v>1905.1278876901943</v>
      </c>
      <c r="I13" s="739">
        <f>'04c_Resumen_MO'!I11</f>
        <v>6680.3983195752862</v>
      </c>
      <c r="J13" s="754">
        <f t="shared" si="4"/>
        <v>0.1520067259747494</v>
      </c>
      <c r="K13" s="755"/>
      <c r="L13" s="766">
        <f t="shared" si="5"/>
        <v>19662601846.227879</v>
      </c>
      <c r="M13" s="766">
        <f t="shared" si="6"/>
        <v>19467922620.027599</v>
      </c>
      <c r="N13" s="764">
        <f t="shared" si="7"/>
        <v>39130524466.255478</v>
      </c>
      <c r="O13" s="766">
        <f t="shared" si="8"/>
        <v>24540357483.942902</v>
      </c>
      <c r="P13" s="766">
        <f t="shared" si="9"/>
        <v>3123949326.1030569</v>
      </c>
      <c r="Q13" s="764">
        <f t="shared" si="10"/>
        <v>27664306810.045959</v>
      </c>
      <c r="R13" s="766">
        <f t="shared" si="11"/>
        <v>0</v>
      </c>
      <c r="S13" s="766">
        <f t="shared" si="12"/>
        <v>0</v>
      </c>
      <c r="T13" s="766">
        <f t="shared" si="13"/>
        <v>0</v>
      </c>
      <c r="U13" s="767">
        <f t="shared" si="14"/>
        <v>66794831276.301437</v>
      </c>
      <c r="V13" s="736"/>
      <c r="W13" s="737">
        <f t="shared" si="15"/>
        <v>22591871946.130657</v>
      </c>
      <c r="Y13" s="738">
        <f>'05c_Resumen_MORADORES'!G10</f>
        <v>140612217.31200001</v>
      </c>
      <c r="Z13" s="738">
        <f t="shared" si="16"/>
        <v>243210761.55959904</v>
      </c>
      <c r="AA13" s="738">
        <f t="shared" si="2"/>
        <v>67178654255.173035</v>
      </c>
      <c r="AB13" s="738"/>
      <c r="AC13" s="739"/>
      <c r="AD13" s="739"/>
      <c r="AE13" s="739"/>
      <c r="AF13" s="739">
        <v>3101396250.0707364</v>
      </c>
      <c r="AG13" s="740"/>
      <c r="AH13" s="741"/>
    </row>
    <row r="14" spans="1:34">
      <c r="A14" s="752">
        <v>7</v>
      </c>
      <c r="B14" s="739">
        <f>SUMIF('04a_PROPUESTA_MO'!$R$9:$R$42,'06_CARGAS'!A14,'04a_PROPUESTA_MO'!$T$9:$T$42)</f>
        <v>23967.619699999999</v>
      </c>
      <c r="C14" s="739">
        <f>'04c_Resumen_MO'!C12</f>
        <v>3251.2337344159237</v>
      </c>
      <c r="D14" s="739">
        <f>'04c_Resumen_MO'!D12</f>
        <v>11010.760040763742</v>
      </c>
      <c r="E14" s="739">
        <f>'04c_Resumen_MO'!E12</f>
        <v>2456.7635053029921</v>
      </c>
      <c r="F14" s="739">
        <f t="shared" si="3"/>
        <v>16718.75728048266</v>
      </c>
      <c r="G14" s="739">
        <f>'04c_Resumen_MO'!G12</f>
        <v>7248.8624195173397</v>
      </c>
      <c r="H14" s="739">
        <f>'04c_Resumen_MO'!H12</f>
        <v>983.66140280594755</v>
      </c>
      <c r="I14" s="739">
        <f>'04c_Resumen_MO'!I12</f>
        <v>6265.2010167113922</v>
      </c>
      <c r="J14" s="754">
        <f t="shared" si="4"/>
        <v>0.14255926796061419</v>
      </c>
      <c r="K14" s="755"/>
      <c r="L14" s="766">
        <f t="shared" si="5"/>
        <v>11493111251.16029</v>
      </c>
      <c r="M14" s="766">
        <f t="shared" si="6"/>
        <v>11379318070.455732</v>
      </c>
      <c r="N14" s="764">
        <f t="shared" si="7"/>
        <v>22872429321.61602</v>
      </c>
      <c r="O14" s="766">
        <f t="shared" si="8"/>
        <v>38923036744.099831</v>
      </c>
      <c r="P14" s="766">
        <f t="shared" si="9"/>
        <v>4954842018.3436842</v>
      </c>
      <c r="Q14" s="764">
        <f t="shared" si="10"/>
        <v>43877878762.443512</v>
      </c>
      <c r="R14" s="766">
        <f t="shared" si="11"/>
        <v>8684658991.2460766</v>
      </c>
      <c r="S14" s="766">
        <f t="shared" si="12"/>
        <v>1105543577.3863466</v>
      </c>
      <c r="T14" s="766">
        <f t="shared" si="13"/>
        <v>9790202568.6324234</v>
      </c>
      <c r="U14" s="767">
        <f t="shared" si="14"/>
        <v>76540510652.691956</v>
      </c>
      <c r="V14" s="736"/>
      <c r="W14" s="737">
        <f t="shared" si="15"/>
        <v>17439703666.18576</v>
      </c>
      <c r="Y14" s="738">
        <f>'05c_Resumen_MORADORES'!G11</f>
        <v>0</v>
      </c>
      <c r="Z14" s="738">
        <f t="shared" si="16"/>
        <v>228094828.7369827</v>
      </c>
      <c r="AA14" s="738">
        <f t="shared" si="2"/>
        <v>76768605481.42894</v>
      </c>
      <c r="AB14" s="738"/>
      <c r="AC14" s="739"/>
      <c r="AD14" s="739"/>
      <c r="AE14" s="739"/>
      <c r="AF14" s="739">
        <v>3524582282.603199</v>
      </c>
      <c r="AG14" s="740"/>
      <c r="AH14" s="741"/>
    </row>
    <row r="15" spans="1:34">
      <c r="A15" s="752">
        <v>8</v>
      </c>
      <c r="B15" s="739">
        <f>SUMIF('04a_PROPUESTA_MO'!$R$9:$R$42,'06_CARGAS'!A15,'04a_PROPUESTA_MO'!$T$9:$T$42)</f>
        <v>14752.6990159</v>
      </c>
      <c r="C15" s="739">
        <f>'04c_Resumen_MO'!C13</f>
        <v>2656.3461894238176</v>
      </c>
      <c r="D15" s="739">
        <f>'04c_Resumen_MO'!D13</f>
        <v>7315.9371761083858</v>
      </c>
      <c r="E15" s="739">
        <f>'04c_Resumen_MO'!E13</f>
        <v>0</v>
      </c>
      <c r="F15" s="739">
        <f t="shared" si="3"/>
        <v>9972.2833655322029</v>
      </c>
      <c r="G15" s="739">
        <f>'04c_Resumen_MO'!G13</f>
        <v>4780.4156503677968</v>
      </c>
      <c r="H15" s="739">
        <f>'04c_Resumen_MO'!H13</f>
        <v>1355.267661338411</v>
      </c>
      <c r="I15" s="739">
        <f>'04c_Resumen_MO'!I13</f>
        <v>3425.1479890293858</v>
      </c>
      <c r="J15" s="754">
        <f t="shared" si="4"/>
        <v>7.7936300634309244E-2</v>
      </c>
      <c r="K15" s="755"/>
      <c r="L15" s="766">
        <f t="shared" si="5"/>
        <v>9390183779.6131954</v>
      </c>
      <c r="M15" s="766">
        <f t="shared" si="6"/>
        <v>9297211662.9833622</v>
      </c>
      <c r="N15" s="764">
        <f t="shared" si="7"/>
        <v>18687395442.596558</v>
      </c>
      <c r="O15" s="766">
        <f t="shared" si="8"/>
        <v>25861837917.543144</v>
      </c>
      <c r="P15" s="766">
        <f t="shared" si="9"/>
        <v>3292171729.2487736</v>
      </c>
      <c r="Q15" s="764">
        <f t="shared" si="10"/>
        <v>29154009646.791916</v>
      </c>
      <c r="R15" s="766">
        <f t="shared" si="11"/>
        <v>0</v>
      </c>
      <c r="S15" s="766">
        <f t="shared" si="12"/>
        <v>0</v>
      </c>
      <c r="T15" s="766">
        <f t="shared" si="13"/>
        <v>0</v>
      </c>
      <c r="U15" s="767">
        <f t="shared" si="14"/>
        <v>47841405089.388474</v>
      </c>
      <c r="V15" s="736"/>
      <c r="W15" s="737">
        <f t="shared" si="15"/>
        <v>12589383392.232136</v>
      </c>
      <c r="Y15" s="738">
        <f>'05c_Resumen_MORADORES'!G12</f>
        <v>8878424533.6995564</v>
      </c>
      <c r="Z15" s="738">
        <f t="shared" si="16"/>
        <v>124698081.01489478</v>
      </c>
      <c r="AA15" s="738">
        <f t="shared" si="2"/>
        <v>56844527704.102921</v>
      </c>
      <c r="AB15" s="738"/>
      <c r="AC15" s="739"/>
      <c r="AD15" s="739"/>
      <c r="AE15" s="739"/>
      <c r="AF15" s="739">
        <v>2169472906.4821901</v>
      </c>
      <c r="AG15" s="740"/>
      <c r="AH15" s="741"/>
    </row>
    <row r="17" spans="4:6">
      <c r="F17" s="743"/>
    </row>
    <row r="18" spans="4:6">
      <c r="D18" s="745"/>
    </row>
  </sheetData>
  <mergeCells count="25">
    <mergeCell ref="A1:J1"/>
    <mergeCell ref="U3:U4"/>
    <mergeCell ref="Y2:Z2"/>
    <mergeCell ref="AA2:AA4"/>
    <mergeCell ref="Y3:Y4"/>
    <mergeCell ref="A2:A4"/>
    <mergeCell ref="B2:B4"/>
    <mergeCell ref="C3:C4"/>
    <mergeCell ref="C2:F2"/>
    <mergeCell ref="G2:G4"/>
    <mergeCell ref="D3:D4"/>
    <mergeCell ref="E3:E4"/>
    <mergeCell ref="F3:F4"/>
    <mergeCell ref="H2:H4"/>
    <mergeCell ref="I2:J4"/>
    <mergeCell ref="AC3:AF3"/>
    <mergeCell ref="AB3:AB4"/>
    <mergeCell ref="AB2:AF2"/>
    <mergeCell ref="O3:Q3"/>
    <mergeCell ref="L3:N3"/>
    <mergeCell ref="L1:U2"/>
    <mergeCell ref="W1:W4"/>
    <mergeCell ref="Y1:AF1"/>
    <mergeCell ref="Z3:Z4"/>
    <mergeCell ref="R3:T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2B145-386F-4D5F-91BD-40C0CAFC2FC2}">
  <sheetPr>
    <tabColor rgb="FFFF0000"/>
  </sheetPr>
  <dimension ref="A1:BF80"/>
  <sheetViews>
    <sheetView zoomScaleNormal="100" workbookViewId="0">
      <pane xSplit="1" ySplit="7" topLeftCell="B8" activePane="bottomRight" state="frozen"/>
      <selection pane="bottomRight" activeCell="L7" sqref="L7"/>
      <selection pane="bottomLeft" activeCell="A8" sqref="A8"/>
      <selection pane="topRight" activeCell="B1" sqref="B1"/>
    </sheetView>
  </sheetViews>
  <sheetFormatPr defaultColWidth="11.375" defaultRowHeight="12"/>
  <cols>
    <col min="1" max="1" width="6" style="133" bestFit="1" customWidth="1"/>
    <col min="2" max="2" width="16.375" style="129" bestFit="1" customWidth="1"/>
    <col min="3" max="3" width="12.875" style="129" customWidth="1"/>
    <col min="4" max="4" width="18.125" style="129" customWidth="1"/>
    <col min="5" max="5" width="19.625" style="129" customWidth="1"/>
    <col min="6" max="6" width="12.625" style="129" customWidth="1"/>
    <col min="7" max="7" width="21" style="129" customWidth="1"/>
    <col min="8" max="8" width="8.125" style="161" bestFit="1" customWidth="1"/>
    <col min="9" max="9" width="15.25" style="129" customWidth="1"/>
    <col min="10" max="10" width="15" style="129" bestFit="1" customWidth="1"/>
    <col min="11" max="11" width="6.25" style="129" bestFit="1" customWidth="1"/>
    <col min="12" max="12" width="40.375" style="129" customWidth="1"/>
    <col min="13" max="13" width="24.875" style="149" customWidth="1"/>
    <col min="14" max="14" width="11.75" style="145" bestFit="1" customWidth="1"/>
    <col min="15" max="17" width="12" style="145" bestFit="1" customWidth="1"/>
    <col min="18" max="43" width="11.75" style="145" bestFit="1" customWidth="1"/>
    <col min="44" max="51" width="11.75" style="129" bestFit="1" customWidth="1"/>
    <col min="52" max="53" width="9.625" style="129" bestFit="1" customWidth="1"/>
    <col min="54" max="16384" width="11.375" style="129"/>
  </cols>
  <sheetData>
    <row r="1" spans="1:58">
      <c r="A1" s="1563" t="s">
        <v>574</v>
      </c>
      <c r="B1" s="1563"/>
      <c r="C1" s="1563"/>
      <c r="D1" s="1563"/>
      <c r="E1" s="1563"/>
      <c r="F1" s="1563"/>
      <c r="G1" s="1563"/>
      <c r="H1" s="1563"/>
      <c r="I1" s="1563"/>
      <c r="J1" s="1563"/>
      <c r="K1" s="1563"/>
      <c r="L1" s="768"/>
      <c r="M1" s="156"/>
    </row>
    <row r="2" spans="1:58">
      <c r="A2" s="1563" t="s">
        <v>247</v>
      </c>
      <c r="B2" s="1562" t="s">
        <v>575</v>
      </c>
      <c r="C2" s="1562" t="s">
        <v>576</v>
      </c>
      <c r="D2" s="1562"/>
      <c r="E2" s="1562"/>
      <c r="F2" s="1562"/>
      <c r="G2" s="1562" t="s">
        <v>694</v>
      </c>
      <c r="H2" s="1562"/>
      <c r="I2" s="1562" t="s">
        <v>682</v>
      </c>
      <c r="J2" s="1562" t="s">
        <v>683</v>
      </c>
      <c r="K2" s="1562"/>
      <c r="L2" s="768"/>
      <c r="M2" s="148"/>
    </row>
    <row r="3" spans="1:58" ht="32.450000000000003">
      <c r="A3" s="1563"/>
      <c r="B3" s="1562"/>
      <c r="C3" s="1562" t="s">
        <v>579</v>
      </c>
      <c r="D3" s="1562" t="s">
        <v>580</v>
      </c>
      <c r="E3" s="1562" t="s">
        <v>581</v>
      </c>
      <c r="F3" s="1562" t="s">
        <v>259</v>
      </c>
      <c r="G3" s="1562"/>
      <c r="H3" s="1562"/>
      <c r="I3" s="1562"/>
      <c r="J3" s="1562"/>
      <c r="K3" s="1562"/>
      <c r="L3" s="769"/>
      <c r="M3" s="148"/>
      <c r="N3" s="1561" t="s">
        <v>695</v>
      </c>
      <c r="O3" s="1561"/>
      <c r="P3" s="1561"/>
      <c r="Q3" s="1561"/>
      <c r="R3" s="1561"/>
      <c r="S3" s="1561"/>
      <c r="T3" s="1561"/>
      <c r="U3" s="1561"/>
      <c r="V3" s="1561"/>
      <c r="W3" s="1561"/>
      <c r="X3" s="1561"/>
      <c r="Y3" s="1561"/>
      <c r="Z3" s="1561"/>
      <c r="AA3" s="1561"/>
      <c r="AB3" s="1561"/>
      <c r="AC3" s="1561"/>
      <c r="AD3" s="1561"/>
      <c r="AE3" s="1561"/>
      <c r="AF3" s="1561"/>
      <c r="AG3" s="1561"/>
      <c r="AH3" s="1561"/>
      <c r="AI3" s="1561"/>
      <c r="AJ3" s="1561"/>
      <c r="AK3" s="1561"/>
      <c r="AL3" s="1561"/>
      <c r="AM3" s="1561"/>
      <c r="AN3" s="1561"/>
      <c r="AO3" s="1561"/>
      <c r="AP3" s="1561"/>
      <c r="AQ3" s="1561"/>
      <c r="AR3" s="1561"/>
    </row>
    <row r="4" spans="1:58" s="147" customFormat="1">
      <c r="A4" s="1563"/>
      <c r="B4" s="1562"/>
      <c r="C4" s="1562"/>
      <c r="D4" s="1562"/>
      <c r="E4" s="1562"/>
      <c r="F4" s="1562"/>
      <c r="G4" s="1562"/>
      <c r="H4" s="1562"/>
      <c r="I4" s="1562"/>
      <c r="J4" s="1562"/>
      <c r="K4" s="1562"/>
      <c r="L4" s="770"/>
      <c r="M4" s="150" t="s">
        <v>696</v>
      </c>
      <c r="N4" s="152">
        <v>1</v>
      </c>
      <c r="O4" s="128">
        <v>2</v>
      </c>
      <c r="P4" s="128">
        <v>3</v>
      </c>
      <c r="Q4" s="128">
        <v>4</v>
      </c>
      <c r="R4" s="128">
        <v>5</v>
      </c>
      <c r="S4" s="128">
        <v>6</v>
      </c>
      <c r="T4" s="128">
        <v>7</v>
      </c>
      <c r="U4" s="128">
        <v>8</v>
      </c>
      <c r="V4" s="128">
        <v>9</v>
      </c>
      <c r="W4" s="128">
        <v>10</v>
      </c>
      <c r="X4" s="128">
        <v>11</v>
      </c>
      <c r="Y4" s="128">
        <v>12</v>
      </c>
      <c r="Z4" s="128">
        <v>13</v>
      </c>
      <c r="AA4" s="128">
        <v>14</v>
      </c>
      <c r="AB4" s="128">
        <v>15</v>
      </c>
      <c r="AC4" s="128">
        <v>16</v>
      </c>
      <c r="AD4" s="128">
        <v>17</v>
      </c>
      <c r="AE4" s="128">
        <v>18</v>
      </c>
      <c r="AF4" s="128">
        <v>19</v>
      </c>
      <c r="AG4" s="128">
        <v>20</v>
      </c>
      <c r="AH4" s="128">
        <v>21</v>
      </c>
      <c r="AI4" s="128">
        <v>22</v>
      </c>
      <c r="AJ4" s="128">
        <v>23</v>
      </c>
      <c r="AK4" s="128">
        <v>24</v>
      </c>
      <c r="AL4" s="128">
        <v>25</v>
      </c>
      <c r="AM4" s="128">
        <v>26</v>
      </c>
      <c r="AN4" s="128">
        <v>27</v>
      </c>
      <c r="AO4" s="128">
        <v>28</v>
      </c>
      <c r="AP4" s="128">
        <v>29</v>
      </c>
      <c r="AQ4" s="128">
        <v>30</v>
      </c>
      <c r="AR4" s="128">
        <v>31</v>
      </c>
      <c r="AS4" s="128">
        <v>32</v>
      </c>
      <c r="AT4" s="128">
        <v>33</v>
      </c>
      <c r="AU4" s="128">
        <v>34</v>
      </c>
      <c r="AV4" s="128">
        <v>35</v>
      </c>
      <c r="AW4" s="128">
        <v>36</v>
      </c>
      <c r="AX4" s="128">
        <v>37</v>
      </c>
      <c r="AY4" s="128">
        <v>38</v>
      </c>
      <c r="AZ4" s="128">
        <v>39</v>
      </c>
      <c r="BA4" s="128">
        <v>40</v>
      </c>
      <c r="BB4" s="128">
        <v>41</v>
      </c>
      <c r="BC4" s="128">
        <v>42</v>
      </c>
      <c r="BD4" s="128">
        <v>43</v>
      </c>
      <c r="BE4" s="128">
        <v>44</v>
      </c>
      <c r="BF4" s="128">
        <v>45</v>
      </c>
    </row>
    <row r="5" spans="1:58" s="120" customFormat="1">
      <c r="A5" s="771"/>
      <c r="B5" s="772"/>
      <c r="C5" s="772"/>
      <c r="D5" s="772"/>
      <c r="E5" s="772"/>
      <c r="F5" s="772"/>
      <c r="G5" s="772"/>
      <c r="H5" s="773"/>
      <c r="I5" s="772"/>
      <c r="J5" s="772"/>
      <c r="K5" s="270"/>
      <c r="L5" s="119"/>
      <c r="M5" s="126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</row>
    <row r="6" spans="1:58" s="112" customFormat="1">
      <c r="A6" s="113"/>
      <c r="B6" s="114" t="s">
        <v>164</v>
      </c>
      <c r="C6" s="114" t="s">
        <v>164</v>
      </c>
      <c r="D6" s="114" t="s">
        <v>164</v>
      </c>
      <c r="E6" s="114" t="s">
        <v>164</v>
      </c>
      <c r="F6" s="114" t="s">
        <v>164</v>
      </c>
      <c r="G6" s="114" t="s">
        <v>164</v>
      </c>
      <c r="H6" s="158" t="s">
        <v>220</v>
      </c>
      <c r="I6" s="114" t="s">
        <v>164</v>
      </c>
      <c r="J6" s="114" t="s">
        <v>164</v>
      </c>
      <c r="K6" s="114" t="s">
        <v>220</v>
      </c>
      <c r="L6" s="114"/>
      <c r="M6" s="157"/>
    </row>
    <row r="7" spans="1:58" s="134" customFormat="1" ht="20.45">
      <c r="A7" s="130"/>
      <c r="B7" s="154">
        <f t="shared" ref="B7:K7" si="0">SUM(B9:B72)</f>
        <v>164776.711307171</v>
      </c>
      <c r="C7" s="131">
        <f t="shared" si="0"/>
        <v>29501.324060209015</v>
      </c>
      <c r="D7" s="131">
        <f t="shared" si="0"/>
        <v>72340.479065592706</v>
      </c>
      <c r="E7" s="131">
        <f t="shared" si="0"/>
        <v>5263.0592238594272</v>
      </c>
      <c r="F7" s="131">
        <f t="shared" si="0"/>
        <v>107104.86234966114</v>
      </c>
      <c r="G7" s="131">
        <f t="shared" si="0"/>
        <v>57671.848957509857</v>
      </c>
      <c r="H7" s="159"/>
      <c r="I7" s="131">
        <f t="shared" si="0"/>
        <v>13723.80470659296</v>
      </c>
      <c r="J7" s="154">
        <f t="shared" si="0"/>
        <v>43948.044250916901</v>
      </c>
      <c r="K7" s="132">
        <f t="shared" si="0"/>
        <v>1</v>
      </c>
      <c r="L7" s="154"/>
      <c r="M7" s="155">
        <f>SUM(M9,M18,M27,M36,M45,M54,M63,M72)</f>
        <v>1380937.8499999996</v>
      </c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  <c r="AP7" s="146"/>
      <c r="AQ7" s="146"/>
    </row>
    <row r="8" spans="1:58" s="134" customFormat="1" ht="17.45">
      <c r="A8" s="130"/>
      <c r="B8" s="131"/>
      <c r="C8" s="131"/>
      <c r="D8" s="131"/>
      <c r="E8" s="131"/>
      <c r="F8" s="131"/>
      <c r="G8" s="131"/>
      <c r="H8" s="159"/>
      <c r="I8" s="131"/>
      <c r="J8" s="131"/>
      <c r="K8" s="132"/>
      <c r="L8" s="154"/>
      <c r="M8" s="153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  <c r="AP8" s="146"/>
      <c r="AQ8" s="146"/>
    </row>
    <row r="9" spans="1:58">
      <c r="A9" s="130">
        <v>1</v>
      </c>
      <c r="B9" s="131">
        <f>SUMIF('04a_PROPUESTA_MO'!$R$9:$R$42,'07a_ATC'!A9,'04a_PROPUESTA_MO'!$T$9:$T$42)</f>
        <v>17268.248534736002</v>
      </c>
      <c r="C9" s="131">
        <f>SUMIF('04a_PROPUESTA_MO'!$R$9:$R$42,'07a_ATC'!A9,'04a_PROPUESTA_MO'!$AH$9:$AH$42)</f>
        <v>4744.8667466265179</v>
      </c>
      <c r="D9" s="131">
        <f>SUMIF('04a_PROPUESTA_MO'!$R$9:$R$42,'07a_ATC'!A9,'04a_PROPUESTA_MO'!$AI$9:$AI$42)</f>
        <v>8246.4926012466458</v>
      </c>
      <c r="E9" s="131">
        <f>SUMIF('04a_PROPUESTA_MO'!$R$9:$R$42,'07a_ATC'!A9,'04a_PROPUESTA_MO'!$AJ$9:$AJ$42)</f>
        <v>0</v>
      </c>
      <c r="F9" s="131">
        <f>SUM(C9:E9)</f>
        <v>12991.359347873164</v>
      </c>
      <c r="G9" s="131">
        <f>B9-F9</f>
        <v>4276.889186862838</v>
      </c>
      <c r="H9" s="159">
        <f>G9/$G$7</f>
        <v>7.415904404268131E-2</v>
      </c>
      <c r="I9" s="131">
        <f>G9-J9</f>
        <v>1355.7527193899618</v>
      </c>
      <c r="J9" s="131">
        <f>SUMIF('04a_PROPUESTA_MO'!$R$9:$R$42,'07a_ATC'!A9,'04a_PROPUESTA_MO'!$AN$9:$AN$42)</f>
        <v>2921.1364674728761</v>
      </c>
      <c r="K9" s="135">
        <f>J9/$J$7</f>
        <v>6.6467951356263863E-2</v>
      </c>
      <c r="M9" s="151">
        <f>SUM(M10:M16)</f>
        <v>94583.319999999934</v>
      </c>
      <c r="N9" s="151">
        <f t="shared" ref="N9:AR9" si="1">SUM(N10:N16)</f>
        <v>2598.37</v>
      </c>
      <c r="O9" s="151">
        <f t="shared" si="1"/>
        <v>2931.22</v>
      </c>
      <c r="P9" s="151">
        <f t="shared" si="1"/>
        <v>2931.22</v>
      </c>
      <c r="Q9" s="151">
        <f t="shared" si="1"/>
        <v>2931.22</v>
      </c>
      <c r="R9" s="151">
        <f t="shared" si="1"/>
        <v>0</v>
      </c>
      <c r="S9" s="151">
        <f t="shared" si="1"/>
        <v>2683.59</v>
      </c>
      <c r="T9" s="151">
        <f t="shared" si="1"/>
        <v>2683.59</v>
      </c>
      <c r="U9" s="151">
        <f t="shared" si="1"/>
        <v>2683.59</v>
      </c>
      <c r="V9" s="151">
        <f t="shared" si="1"/>
        <v>2683.59</v>
      </c>
      <c r="W9" s="151">
        <f t="shared" si="1"/>
        <v>2683.59</v>
      </c>
      <c r="X9" s="151">
        <f t="shared" si="1"/>
        <v>2683.59</v>
      </c>
      <c r="Y9" s="151">
        <f t="shared" si="1"/>
        <v>2683.59</v>
      </c>
      <c r="Z9" s="151">
        <f t="shared" si="1"/>
        <v>2683.59</v>
      </c>
      <c r="AA9" s="151">
        <f t="shared" si="1"/>
        <v>2683.59</v>
      </c>
      <c r="AB9" s="151">
        <f t="shared" si="1"/>
        <v>2683.59</v>
      </c>
      <c r="AC9" s="151">
        <f t="shared" si="1"/>
        <v>2683.59</v>
      </c>
      <c r="AD9" s="151">
        <f t="shared" si="1"/>
        <v>2683.59</v>
      </c>
      <c r="AE9" s="151">
        <f t="shared" si="1"/>
        <v>2683.59</v>
      </c>
      <c r="AF9" s="151">
        <f t="shared" si="1"/>
        <v>2683.59</v>
      </c>
      <c r="AG9" s="151">
        <f t="shared" si="1"/>
        <v>2683.59</v>
      </c>
      <c r="AH9" s="151">
        <f t="shared" si="1"/>
        <v>2683.59</v>
      </c>
      <c r="AI9" s="151">
        <f t="shared" si="1"/>
        <v>2683.59</v>
      </c>
      <c r="AJ9" s="151">
        <f t="shared" si="1"/>
        <v>2683.59</v>
      </c>
      <c r="AK9" s="151">
        <f t="shared" si="1"/>
        <v>2683.59</v>
      </c>
      <c r="AL9" s="151">
        <f t="shared" si="1"/>
        <v>2683.59</v>
      </c>
      <c r="AM9" s="151">
        <f t="shared" si="1"/>
        <v>2683.59</v>
      </c>
      <c r="AN9" s="151">
        <f t="shared" si="1"/>
        <v>2683.59</v>
      </c>
      <c r="AO9" s="151">
        <f t="shared" si="1"/>
        <v>2683.59</v>
      </c>
      <c r="AP9" s="151">
        <f t="shared" si="1"/>
        <v>2683.59</v>
      </c>
      <c r="AQ9" s="151">
        <f t="shared" si="1"/>
        <v>2683.59</v>
      </c>
      <c r="AR9" s="151">
        <f t="shared" si="1"/>
        <v>2683.59</v>
      </c>
      <c r="AS9" s="151">
        <f t="shared" ref="AS9" si="2">SUM(AS10:AS16)</f>
        <v>2683.59</v>
      </c>
      <c r="AT9" s="151">
        <f t="shared" ref="AT9" si="3">SUM(AT10:AT16)</f>
        <v>2683.59</v>
      </c>
      <c r="AU9" s="151">
        <f t="shared" ref="AU9" si="4">SUM(AU10:AU16)</f>
        <v>2683.59</v>
      </c>
      <c r="AV9" s="151">
        <f t="shared" ref="AV9" si="5">SUM(AV10:AV16)</f>
        <v>2683.59</v>
      </c>
      <c r="AW9" s="151">
        <f t="shared" ref="AW9" si="6">SUM(AW10:AW16)</f>
        <v>2683.59</v>
      </c>
      <c r="AX9" s="151">
        <f t="shared" ref="AX9" si="7">SUM(AX10:AX16)</f>
        <v>0</v>
      </c>
      <c r="AY9" s="151">
        <f t="shared" ref="AY9:BF9" si="8">SUM(AY10:AY16)</f>
        <v>0</v>
      </c>
      <c r="AZ9" s="151">
        <f t="shared" si="8"/>
        <v>0</v>
      </c>
      <c r="BA9" s="151">
        <f t="shared" si="8"/>
        <v>0</v>
      </c>
      <c r="BB9" s="151">
        <f t="shared" si="8"/>
        <v>0</v>
      </c>
      <c r="BC9" s="151">
        <f t="shared" si="8"/>
        <v>0</v>
      </c>
      <c r="BD9" s="151">
        <f t="shared" si="8"/>
        <v>0</v>
      </c>
      <c r="BE9" s="151">
        <f t="shared" si="8"/>
        <v>0</v>
      </c>
      <c r="BF9" s="151">
        <f t="shared" si="8"/>
        <v>0</v>
      </c>
    </row>
    <row r="10" spans="1:58">
      <c r="A10" s="130"/>
      <c r="B10" s="127"/>
      <c r="C10" s="127"/>
      <c r="D10" s="127"/>
      <c r="E10" s="127"/>
      <c r="F10" s="127"/>
      <c r="G10" s="127"/>
      <c r="H10" s="160"/>
      <c r="I10" s="127"/>
      <c r="J10" s="127"/>
      <c r="K10" s="135"/>
      <c r="L10" s="138" t="str">
        <f>'00_Datos_Mercado'!$B$3</f>
        <v xml:space="preserve">a_CS - Creativos </v>
      </c>
      <c r="M10" s="148">
        <f>SUM(N10:BF10)</f>
        <v>0</v>
      </c>
      <c r="N10" s="129">
        <v>0</v>
      </c>
      <c r="O10" s="145">
        <v>0</v>
      </c>
      <c r="P10" s="129">
        <v>0</v>
      </c>
      <c r="Q10" s="145">
        <v>0</v>
      </c>
      <c r="R10" s="129">
        <v>0</v>
      </c>
      <c r="S10" s="145">
        <v>0</v>
      </c>
      <c r="T10" s="129">
        <v>0</v>
      </c>
      <c r="U10" s="145">
        <v>0</v>
      </c>
      <c r="V10" s="129">
        <v>0</v>
      </c>
      <c r="W10" s="145">
        <v>0</v>
      </c>
      <c r="X10" s="129">
        <v>0</v>
      </c>
      <c r="Y10" s="145">
        <v>0</v>
      </c>
      <c r="Z10" s="129">
        <v>0</v>
      </c>
      <c r="AA10" s="145">
        <v>0</v>
      </c>
      <c r="AB10" s="129">
        <v>0</v>
      </c>
      <c r="AC10" s="145">
        <v>0</v>
      </c>
      <c r="AD10" s="129">
        <v>0</v>
      </c>
      <c r="AE10" s="145">
        <v>0</v>
      </c>
      <c r="AF10" s="129">
        <v>0</v>
      </c>
      <c r="AG10" s="145">
        <v>0</v>
      </c>
      <c r="AH10" s="129">
        <v>0</v>
      </c>
      <c r="AI10" s="145">
        <v>0</v>
      </c>
      <c r="AJ10" s="129">
        <v>0</v>
      </c>
      <c r="AK10" s="145">
        <v>0</v>
      </c>
      <c r="AL10" s="129">
        <v>0</v>
      </c>
      <c r="AM10" s="145">
        <v>0</v>
      </c>
      <c r="AN10" s="129">
        <v>0</v>
      </c>
      <c r="AO10" s="145">
        <v>0</v>
      </c>
      <c r="AP10" s="129">
        <v>0</v>
      </c>
      <c r="AQ10" s="145">
        <v>0</v>
      </c>
      <c r="AR10" s="145">
        <v>0</v>
      </c>
      <c r="AS10" s="145">
        <v>0</v>
      </c>
      <c r="AT10" s="145">
        <v>0</v>
      </c>
      <c r="AU10" s="145">
        <v>0</v>
      </c>
      <c r="AV10" s="145">
        <v>0</v>
      </c>
      <c r="AW10" s="145">
        <v>0</v>
      </c>
      <c r="AX10" s="145">
        <v>0</v>
      </c>
      <c r="AY10" s="145">
        <v>0</v>
      </c>
      <c r="AZ10" s="145">
        <v>0</v>
      </c>
      <c r="BA10" s="145">
        <v>0</v>
      </c>
      <c r="BB10" s="145">
        <v>0</v>
      </c>
      <c r="BC10" s="145">
        <v>0</v>
      </c>
      <c r="BD10" s="145">
        <v>0</v>
      </c>
      <c r="BE10" s="145">
        <v>0</v>
      </c>
      <c r="BF10" s="145">
        <v>0</v>
      </c>
    </row>
    <row r="11" spans="1:58">
      <c r="A11" s="130"/>
      <c r="B11" s="127"/>
      <c r="C11" s="127"/>
      <c r="D11" s="127"/>
      <c r="E11" s="127"/>
      <c r="F11" s="127"/>
      <c r="G11" s="127"/>
      <c r="H11" s="160"/>
      <c r="I11" s="127"/>
      <c r="J11" s="127"/>
      <c r="K11" s="135"/>
      <c r="L11" s="139" t="str">
        <f>'00_Datos_Mercado'!$B$4</f>
        <v>b_CS - General (Comercio + Oficinas + Hospedaje)</v>
      </c>
      <c r="M11" s="148">
        <f t="shared" ref="M11:M17" si="9">SUM(N11:BF11)</f>
        <v>11392.029999999999</v>
      </c>
      <c r="N11" s="129">
        <v>2598.37</v>
      </c>
      <c r="O11" s="145">
        <v>2931.22</v>
      </c>
      <c r="P11" s="145">
        <v>2931.22</v>
      </c>
      <c r="Q11" s="145">
        <v>2931.22</v>
      </c>
      <c r="R11" s="145">
        <v>0</v>
      </c>
      <c r="S11" s="145">
        <v>0</v>
      </c>
      <c r="T11" s="145">
        <v>0</v>
      </c>
      <c r="U11" s="145">
        <v>0</v>
      </c>
      <c r="V11" s="145">
        <v>0</v>
      </c>
      <c r="W11" s="145">
        <v>0</v>
      </c>
      <c r="X11" s="145">
        <v>0</v>
      </c>
      <c r="Y11" s="145">
        <v>0</v>
      </c>
      <c r="Z11" s="145">
        <v>0</v>
      </c>
      <c r="AA11" s="145">
        <v>0</v>
      </c>
      <c r="AB11" s="145">
        <v>0</v>
      </c>
      <c r="AC11" s="145">
        <v>0</v>
      </c>
      <c r="AD11" s="145">
        <v>0</v>
      </c>
      <c r="AE11" s="145">
        <v>0</v>
      </c>
      <c r="AF11" s="145">
        <v>0</v>
      </c>
      <c r="AG11" s="145">
        <v>0</v>
      </c>
      <c r="AH11" s="145">
        <v>0</v>
      </c>
      <c r="AI11" s="145">
        <v>0</v>
      </c>
      <c r="AJ11" s="145">
        <v>0</v>
      </c>
      <c r="AK11" s="145">
        <v>0</v>
      </c>
      <c r="AL11" s="145">
        <v>0</v>
      </c>
      <c r="AM11" s="145">
        <v>0</v>
      </c>
      <c r="AN11" s="145">
        <v>0</v>
      </c>
      <c r="AO11" s="145">
        <v>0</v>
      </c>
      <c r="AP11" s="145">
        <v>0</v>
      </c>
      <c r="AQ11" s="145">
        <v>0</v>
      </c>
      <c r="AR11" s="145">
        <v>0</v>
      </c>
      <c r="AS11" s="145">
        <v>0</v>
      </c>
      <c r="AT11" s="145">
        <v>0</v>
      </c>
      <c r="AU11" s="145">
        <v>0</v>
      </c>
      <c r="AV11" s="145">
        <v>0</v>
      </c>
      <c r="AW11" s="145">
        <v>0</v>
      </c>
      <c r="AX11" s="145">
        <v>0</v>
      </c>
      <c r="AY11" s="145">
        <v>0</v>
      </c>
      <c r="AZ11" s="145">
        <v>0</v>
      </c>
      <c r="BA11" s="145">
        <v>0</v>
      </c>
      <c r="BB11" s="145">
        <v>0</v>
      </c>
      <c r="BC11" s="145">
        <v>0</v>
      </c>
      <c r="BD11" s="145">
        <v>0</v>
      </c>
      <c r="BE11" s="145">
        <v>0</v>
      </c>
      <c r="BF11" s="145">
        <v>0</v>
      </c>
    </row>
    <row r="12" spans="1:58">
      <c r="A12" s="130"/>
      <c r="B12" s="127"/>
      <c r="C12" s="127"/>
      <c r="D12" s="127"/>
      <c r="E12" s="127"/>
      <c r="F12" s="127"/>
      <c r="G12" s="127"/>
      <c r="H12" s="160"/>
      <c r="I12" s="127"/>
      <c r="J12" s="127"/>
      <c r="K12" s="135"/>
      <c r="L12" s="140" t="str">
        <f>'00_Datos_Mercado'!$B$5</f>
        <v>c_CS - Grandes Superficies</v>
      </c>
      <c r="M12" s="148">
        <f t="shared" si="9"/>
        <v>0</v>
      </c>
      <c r="N12" s="145">
        <v>0</v>
      </c>
      <c r="O12" s="145">
        <v>0</v>
      </c>
      <c r="P12" s="145">
        <v>0</v>
      </c>
      <c r="Q12" s="145">
        <v>0</v>
      </c>
      <c r="R12" s="145">
        <v>0</v>
      </c>
      <c r="S12" s="145">
        <v>0</v>
      </c>
      <c r="T12" s="145">
        <v>0</v>
      </c>
      <c r="U12" s="145">
        <v>0</v>
      </c>
      <c r="V12" s="145">
        <v>0</v>
      </c>
      <c r="W12" s="145">
        <v>0</v>
      </c>
      <c r="X12" s="145">
        <v>0</v>
      </c>
      <c r="Y12" s="145">
        <v>0</v>
      </c>
      <c r="Z12" s="145">
        <v>0</v>
      </c>
      <c r="AA12" s="145">
        <v>0</v>
      </c>
      <c r="AB12" s="145">
        <v>0</v>
      </c>
      <c r="AC12" s="145">
        <v>0</v>
      </c>
      <c r="AD12" s="145">
        <v>0</v>
      </c>
      <c r="AE12" s="145">
        <v>0</v>
      </c>
      <c r="AF12" s="145">
        <v>0</v>
      </c>
      <c r="AG12" s="145">
        <v>0</v>
      </c>
      <c r="AH12" s="145">
        <v>0</v>
      </c>
      <c r="AI12" s="145">
        <v>0</v>
      </c>
      <c r="AJ12" s="145">
        <v>0</v>
      </c>
      <c r="AK12" s="145">
        <v>0</v>
      </c>
      <c r="AL12" s="145">
        <v>0</v>
      </c>
      <c r="AM12" s="145">
        <v>0</v>
      </c>
      <c r="AN12" s="145">
        <v>0</v>
      </c>
      <c r="AO12" s="145">
        <v>0</v>
      </c>
      <c r="AP12" s="145">
        <v>0</v>
      </c>
      <c r="AQ12" s="145">
        <v>0</v>
      </c>
      <c r="AR12" s="145">
        <v>0</v>
      </c>
      <c r="AS12" s="145">
        <v>0</v>
      </c>
      <c r="AT12" s="145">
        <v>0</v>
      </c>
      <c r="AU12" s="145">
        <v>0</v>
      </c>
      <c r="AV12" s="145">
        <v>0</v>
      </c>
      <c r="AW12" s="145">
        <v>0</v>
      </c>
      <c r="AX12" s="145">
        <v>0</v>
      </c>
      <c r="AY12" s="145">
        <v>0</v>
      </c>
      <c r="AZ12" s="145">
        <v>0</v>
      </c>
      <c r="BA12" s="145">
        <v>0</v>
      </c>
      <c r="BB12" s="145">
        <v>0</v>
      </c>
      <c r="BC12" s="145">
        <v>0</v>
      </c>
      <c r="BD12" s="145">
        <v>0</v>
      </c>
      <c r="BE12" s="145">
        <v>0</v>
      </c>
      <c r="BF12" s="145">
        <v>0</v>
      </c>
    </row>
    <row r="13" spans="1:58">
      <c r="A13" s="130"/>
      <c r="B13" s="127"/>
      <c r="C13" s="127"/>
      <c r="D13" s="127"/>
      <c r="E13" s="127"/>
      <c r="F13" s="127"/>
      <c r="G13" s="127"/>
      <c r="H13" s="160"/>
      <c r="I13" s="127"/>
      <c r="J13" s="127"/>
      <c r="K13" s="135"/>
      <c r="L13" s="141" t="str">
        <f>'00_Datos_Mercado'!$B$6</f>
        <v>d_CS - Torre Empresarial (Oficinas + Hospedaje)</v>
      </c>
      <c r="M13" s="148">
        <f t="shared" si="9"/>
        <v>83191.289999999935</v>
      </c>
      <c r="N13" s="145">
        <v>0</v>
      </c>
      <c r="O13" s="145">
        <v>0</v>
      </c>
      <c r="P13" s="145">
        <v>0</v>
      </c>
      <c r="Q13" s="145">
        <v>0</v>
      </c>
      <c r="R13" s="145">
        <v>0</v>
      </c>
      <c r="S13" s="145">
        <v>2683.59</v>
      </c>
      <c r="T13" s="145">
        <v>2683.59</v>
      </c>
      <c r="U13" s="145">
        <v>2683.59</v>
      </c>
      <c r="V13" s="145">
        <v>2683.59</v>
      </c>
      <c r="W13" s="145">
        <v>2683.59</v>
      </c>
      <c r="X13" s="145">
        <v>2683.59</v>
      </c>
      <c r="Y13" s="145">
        <v>2683.59</v>
      </c>
      <c r="Z13" s="145">
        <v>2683.59</v>
      </c>
      <c r="AA13" s="145">
        <v>2683.59</v>
      </c>
      <c r="AB13" s="145">
        <v>2683.59</v>
      </c>
      <c r="AC13" s="145">
        <v>2683.59</v>
      </c>
      <c r="AD13" s="145">
        <v>2683.59</v>
      </c>
      <c r="AE13" s="145">
        <v>2683.59</v>
      </c>
      <c r="AF13" s="145">
        <v>2683.59</v>
      </c>
      <c r="AG13" s="145">
        <v>2683.59</v>
      </c>
      <c r="AH13" s="145">
        <v>2683.59</v>
      </c>
      <c r="AI13" s="145">
        <v>2683.59</v>
      </c>
      <c r="AJ13" s="145">
        <v>2683.59</v>
      </c>
      <c r="AK13" s="145">
        <v>2683.59</v>
      </c>
      <c r="AL13" s="145">
        <v>2683.59</v>
      </c>
      <c r="AM13" s="145">
        <v>2683.59</v>
      </c>
      <c r="AN13" s="145">
        <v>2683.59</v>
      </c>
      <c r="AO13" s="145">
        <v>2683.59</v>
      </c>
      <c r="AP13" s="145">
        <v>2683.59</v>
      </c>
      <c r="AQ13" s="145">
        <v>2683.59</v>
      </c>
      <c r="AR13" s="145">
        <v>2683.59</v>
      </c>
      <c r="AS13" s="145">
        <v>2683.59</v>
      </c>
      <c r="AT13" s="145">
        <v>2683.59</v>
      </c>
      <c r="AU13" s="145">
        <v>2683.59</v>
      </c>
      <c r="AV13" s="145">
        <v>2683.59</v>
      </c>
      <c r="AW13" s="145">
        <v>2683.59</v>
      </c>
      <c r="AX13" s="145">
        <v>0</v>
      </c>
      <c r="AY13" s="145">
        <v>0</v>
      </c>
      <c r="AZ13" s="145">
        <v>0</v>
      </c>
      <c r="BA13" s="145">
        <v>0</v>
      </c>
      <c r="BB13" s="145">
        <v>0</v>
      </c>
      <c r="BC13" s="145">
        <v>0</v>
      </c>
      <c r="BD13" s="145">
        <v>0</v>
      </c>
      <c r="BE13" s="145">
        <v>0</v>
      </c>
      <c r="BF13" s="145">
        <v>0</v>
      </c>
    </row>
    <row r="14" spans="1:58">
      <c r="A14" s="130"/>
      <c r="B14" s="127"/>
      <c r="C14" s="127"/>
      <c r="D14" s="127"/>
      <c r="E14" s="127"/>
      <c r="F14" s="127"/>
      <c r="G14" s="127"/>
      <c r="H14" s="160"/>
      <c r="I14" s="127"/>
      <c r="J14" s="127"/>
      <c r="K14" s="135"/>
      <c r="L14" s="142" t="str">
        <f>'00_Datos_Mercado'!$B$7</f>
        <v>e_CS - Innovation (H, CS, Gamers)</v>
      </c>
      <c r="M14" s="148">
        <f t="shared" si="9"/>
        <v>0</v>
      </c>
      <c r="N14" s="145">
        <v>0</v>
      </c>
      <c r="O14" s="145">
        <v>0</v>
      </c>
      <c r="P14" s="145">
        <v>0</v>
      </c>
      <c r="Q14" s="145">
        <v>0</v>
      </c>
      <c r="R14" s="145">
        <v>0</v>
      </c>
      <c r="S14" s="145">
        <v>0</v>
      </c>
      <c r="T14" s="145">
        <v>0</v>
      </c>
      <c r="U14" s="145">
        <v>0</v>
      </c>
      <c r="V14" s="145">
        <v>0</v>
      </c>
      <c r="W14" s="145">
        <v>0</v>
      </c>
      <c r="X14" s="145">
        <v>0</v>
      </c>
      <c r="Y14" s="145">
        <v>0</v>
      </c>
      <c r="Z14" s="145">
        <v>0</v>
      </c>
      <c r="AA14" s="145">
        <v>0</v>
      </c>
      <c r="AB14" s="145">
        <v>0</v>
      </c>
      <c r="AC14" s="145">
        <v>0</v>
      </c>
      <c r="AD14" s="145">
        <v>0</v>
      </c>
      <c r="AE14" s="145">
        <v>0</v>
      </c>
      <c r="AF14" s="145">
        <v>0</v>
      </c>
      <c r="AG14" s="145">
        <v>0</v>
      </c>
      <c r="AH14" s="145">
        <v>0</v>
      </c>
      <c r="AI14" s="145">
        <v>0</v>
      </c>
      <c r="AJ14" s="145">
        <v>0</v>
      </c>
      <c r="AK14" s="145">
        <v>0</v>
      </c>
      <c r="AL14" s="145">
        <v>0</v>
      </c>
      <c r="AM14" s="145">
        <v>0</v>
      </c>
      <c r="AN14" s="145">
        <v>0</v>
      </c>
      <c r="AO14" s="145">
        <v>0</v>
      </c>
      <c r="AP14" s="145">
        <v>0</v>
      </c>
      <c r="AQ14" s="145">
        <v>0</v>
      </c>
      <c r="AR14" s="145">
        <v>0</v>
      </c>
      <c r="AS14" s="145">
        <v>0</v>
      </c>
      <c r="AT14" s="145">
        <v>0</v>
      </c>
      <c r="AU14" s="145">
        <v>0</v>
      </c>
      <c r="AV14" s="145">
        <v>0</v>
      </c>
      <c r="AW14" s="145">
        <v>0</v>
      </c>
      <c r="AX14" s="145">
        <v>0</v>
      </c>
      <c r="AY14" s="145">
        <v>0</v>
      </c>
      <c r="AZ14" s="145">
        <v>0</v>
      </c>
      <c r="BA14" s="145">
        <v>0</v>
      </c>
      <c r="BB14" s="145">
        <v>0</v>
      </c>
      <c r="BC14" s="145">
        <v>0</v>
      </c>
      <c r="BD14" s="145">
        <v>0</v>
      </c>
      <c r="BE14" s="145">
        <v>0</v>
      </c>
      <c r="BF14" s="145">
        <v>0</v>
      </c>
    </row>
    <row r="15" spans="1:58">
      <c r="A15" s="130"/>
      <c r="B15" s="127"/>
      <c r="C15" s="127"/>
      <c r="D15" s="127"/>
      <c r="E15" s="127"/>
      <c r="F15" s="127"/>
      <c r="G15" s="127"/>
      <c r="H15" s="160"/>
      <c r="I15" s="127"/>
      <c r="J15" s="127"/>
      <c r="K15" s="135"/>
      <c r="L15" s="144" t="str">
        <f>'00_Datos_Mercado'!$B$8</f>
        <v xml:space="preserve">f_RES - VIS Ru </v>
      </c>
      <c r="M15" s="148">
        <f t="shared" si="9"/>
        <v>0</v>
      </c>
      <c r="N15" s="145">
        <v>0</v>
      </c>
      <c r="O15" s="145">
        <v>0</v>
      </c>
      <c r="P15" s="145">
        <v>0</v>
      </c>
      <c r="Q15" s="145">
        <v>0</v>
      </c>
      <c r="R15" s="145">
        <v>0</v>
      </c>
      <c r="S15" s="145">
        <v>0</v>
      </c>
      <c r="T15" s="145">
        <v>0</v>
      </c>
      <c r="U15" s="145">
        <v>0</v>
      </c>
      <c r="V15" s="145">
        <v>0</v>
      </c>
      <c r="W15" s="145">
        <v>0</v>
      </c>
      <c r="X15" s="145">
        <v>0</v>
      </c>
      <c r="Y15" s="145">
        <v>0</v>
      </c>
      <c r="Z15" s="145">
        <v>0</v>
      </c>
      <c r="AA15" s="145">
        <v>0</v>
      </c>
      <c r="AB15" s="145">
        <v>0</v>
      </c>
      <c r="AC15" s="145">
        <v>0</v>
      </c>
      <c r="AD15" s="145">
        <v>0</v>
      </c>
      <c r="AE15" s="145">
        <v>0</v>
      </c>
      <c r="AF15" s="145">
        <v>0</v>
      </c>
      <c r="AG15" s="145">
        <v>0</v>
      </c>
      <c r="AH15" s="145">
        <v>0</v>
      </c>
      <c r="AI15" s="145">
        <v>0</v>
      </c>
      <c r="AJ15" s="145">
        <v>0</v>
      </c>
      <c r="AK15" s="145">
        <v>0</v>
      </c>
      <c r="AL15" s="145">
        <v>0</v>
      </c>
      <c r="AM15" s="145">
        <v>0</v>
      </c>
      <c r="AN15" s="145">
        <v>0</v>
      </c>
      <c r="AO15" s="145">
        <v>0</v>
      </c>
      <c r="AP15" s="145">
        <v>0</v>
      </c>
      <c r="AQ15" s="145">
        <v>0</v>
      </c>
      <c r="AR15" s="145">
        <v>0</v>
      </c>
      <c r="AS15" s="145">
        <v>0</v>
      </c>
      <c r="AT15" s="145">
        <v>0</v>
      </c>
      <c r="AU15" s="145">
        <v>0</v>
      </c>
      <c r="AV15" s="145">
        <v>0</v>
      </c>
      <c r="AW15" s="145">
        <v>0</v>
      </c>
      <c r="AX15" s="145">
        <v>0</v>
      </c>
      <c r="AY15" s="145">
        <v>0</v>
      </c>
      <c r="AZ15" s="145">
        <v>0</v>
      </c>
      <c r="BA15" s="145">
        <v>0</v>
      </c>
      <c r="BB15" s="145">
        <v>0</v>
      </c>
      <c r="BC15" s="145">
        <v>0</v>
      </c>
      <c r="BD15" s="145">
        <v>0</v>
      </c>
      <c r="BE15" s="145">
        <v>0</v>
      </c>
      <c r="BF15" s="145">
        <v>0</v>
      </c>
    </row>
    <row r="16" spans="1:58">
      <c r="A16" s="130"/>
      <c r="B16" s="127"/>
      <c r="C16" s="127"/>
      <c r="D16" s="127"/>
      <c r="E16" s="127"/>
      <c r="F16" s="127"/>
      <c r="G16" s="127"/>
      <c r="H16" s="160"/>
      <c r="I16" s="127"/>
      <c r="J16" s="127"/>
      <c r="K16" s="135"/>
      <c r="L16" s="143" t="str">
        <f>'00_Datos_Mercado'!$B$10</f>
        <v>i_RES - No VIS</v>
      </c>
      <c r="M16" s="148">
        <f t="shared" si="9"/>
        <v>0</v>
      </c>
      <c r="N16" s="145">
        <v>0</v>
      </c>
      <c r="O16" s="145">
        <v>0</v>
      </c>
      <c r="P16" s="145">
        <v>0</v>
      </c>
      <c r="Q16" s="145">
        <v>0</v>
      </c>
      <c r="R16" s="145">
        <v>0</v>
      </c>
      <c r="S16" s="145">
        <v>0</v>
      </c>
      <c r="T16" s="145">
        <v>0</v>
      </c>
      <c r="U16" s="145">
        <v>0</v>
      </c>
      <c r="V16" s="145">
        <v>0</v>
      </c>
      <c r="W16" s="145">
        <v>0</v>
      </c>
      <c r="X16" s="145">
        <v>0</v>
      </c>
      <c r="Y16" s="145">
        <v>0</v>
      </c>
      <c r="Z16" s="145">
        <v>0</v>
      </c>
      <c r="AA16" s="145">
        <v>0</v>
      </c>
      <c r="AB16" s="145">
        <v>0</v>
      </c>
      <c r="AC16" s="145">
        <v>0</v>
      </c>
      <c r="AD16" s="145">
        <v>0</v>
      </c>
      <c r="AE16" s="145">
        <v>0</v>
      </c>
      <c r="AF16" s="145">
        <v>0</v>
      </c>
      <c r="AG16" s="145">
        <v>0</v>
      </c>
      <c r="AH16" s="145">
        <v>0</v>
      </c>
      <c r="AI16" s="145">
        <v>0</v>
      </c>
      <c r="AJ16" s="145">
        <v>0</v>
      </c>
      <c r="AK16" s="145">
        <v>0</v>
      </c>
      <c r="AL16" s="145">
        <v>0</v>
      </c>
      <c r="AM16" s="145">
        <v>0</v>
      </c>
      <c r="AN16" s="145">
        <v>0</v>
      </c>
      <c r="AO16" s="145">
        <v>0</v>
      </c>
      <c r="AP16" s="145">
        <v>0</v>
      </c>
      <c r="AQ16" s="145">
        <v>0</v>
      </c>
      <c r="AR16" s="145">
        <v>0</v>
      </c>
      <c r="AS16" s="145">
        <v>0</v>
      </c>
      <c r="AT16" s="145">
        <v>0</v>
      </c>
      <c r="AU16" s="145">
        <v>0</v>
      </c>
      <c r="AV16" s="145">
        <v>0</v>
      </c>
      <c r="AW16" s="145">
        <v>0</v>
      </c>
      <c r="AX16" s="145">
        <v>0</v>
      </c>
      <c r="AY16" s="145">
        <v>0</v>
      </c>
      <c r="AZ16" s="145">
        <v>0</v>
      </c>
      <c r="BA16" s="145">
        <v>0</v>
      </c>
      <c r="BB16" s="145">
        <v>0</v>
      </c>
      <c r="BC16" s="145">
        <v>0</v>
      </c>
      <c r="BD16" s="145">
        <v>0</v>
      </c>
      <c r="BE16" s="145">
        <v>0</v>
      </c>
      <c r="BF16" s="145">
        <v>0</v>
      </c>
    </row>
    <row r="17" spans="1:58">
      <c r="A17" s="130"/>
      <c r="B17" s="127"/>
      <c r="C17" s="127"/>
      <c r="D17" s="127"/>
      <c r="E17" s="127"/>
      <c r="F17" s="127"/>
      <c r="G17" s="127"/>
      <c r="H17" s="160"/>
      <c r="I17" s="127"/>
      <c r="J17" s="127"/>
      <c r="K17" s="135"/>
      <c r="L17" s="264" t="s">
        <v>697</v>
      </c>
      <c r="M17" s="264">
        <f t="shared" si="9"/>
        <v>5367.18</v>
      </c>
      <c r="N17" s="265">
        <v>0</v>
      </c>
      <c r="O17" s="265">
        <v>0</v>
      </c>
      <c r="P17" s="265">
        <v>0</v>
      </c>
      <c r="Q17" s="265">
        <v>0</v>
      </c>
      <c r="R17" s="265">
        <v>2683.59</v>
      </c>
      <c r="S17" s="265">
        <v>0</v>
      </c>
      <c r="T17" s="265">
        <v>0</v>
      </c>
      <c r="U17" s="265">
        <v>0</v>
      </c>
      <c r="V17" s="265">
        <v>0</v>
      </c>
      <c r="W17" s="265">
        <v>0</v>
      </c>
      <c r="X17" s="265">
        <v>0</v>
      </c>
      <c r="Y17" s="265">
        <v>0</v>
      </c>
      <c r="Z17" s="265">
        <v>0</v>
      </c>
      <c r="AA17" s="265">
        <v>0</v>
      </c>
      <c r="AB17" s="265">
        <v>0</v>
      </c>
      <c r="AC17" s="265">
        <v>0</v>
      </c>
      <c r="AD17" s="265">
        <v>0</v>
      </c>
      <c r="AE17" s="265">
        <v>0</v>
      </c>
      <c r="AF17" s="265">
        <v>0</v>
      </c>
      <c r="AG17" s="265">
        <v>0</v>
      </c>
      <c r="AH17" s="265">
        <v>0</v>
      </c>
      <c r="AI17" s="265">
        <v>0</v>
      </c>
      <c r="AJ17" s="265">
        <v>0</v>
      </c>
      <c r="AK17" s="265">
        <v>0</v>
      </c>
      <c r="AL17" s="265">
        <v>0</v>
      </c>
      <c r="AM17" s="265">
        <v>0</v>
      </c>
      <c r="AN17" s="265">
        <v>0</v>
      </c>
      <c r="AO17" s="265">
        <v>0</v>
      </c>
      <c r="AP17" s="265">
        <v>0</v>
      </c>
      <c r="AQ17" s="265">
        <v>0</v>
      </c>
      <c r="AR17" s="265">
        <v>0</v>
      </c>
      <c r="AS17" s="265">
        <v>0</v>
      </c>
      <c r="AT17" s="265">
        <v>0</v>
      </c>
      <c r="AU17" s="265">
        <v>0</v>
      </c>
      <c r="AV17" s="265">
        <v>0</v>
      </c>
      <c r="AW17" s="265">
        <v>0</v>
      </c>
      <c r="AX17" s="265">
        <v>2683.59</v>
      </c>
      <c r="AY17" s="265"/>
      <c r="AZ17" s="265"/>
      <c r="BA17" s="265"/>
      <c r="BB17" s="265">
        <v>0</v>
      </c>
      <c r="BC17" s="265">
        <v>0</v>
      </c>
      <c r="BD17" s="265">
        <v>0</v>
      </c>
      <c r="BE17" s="265">
        <v>0</v>
      </c>
      <c r="BF17" s="265">
        <v>0</v>
      </c>
    </row>
    <row r="18" spans="1:58" s="134" customFormat="1">
      <c r="A18" s="130">
        <v>2</v>
      </c>
      <c r="B18" s="131">
        <f>SUMIF('04a_PROPUESTA_MO'!$R$9:$R$42,'07a_ATC'!A18,'04a_PROPUESTA_MO'!$T$9:$T$42)</f>
        <v>15602.531511536001</v>
      </c>
      <c r="C18" s="131">
        <f>SUMIF('04a_PROPUESTA_MO'!$R$9:$R$42,'07a_ATC'!A18,'04a_PROPUESTA_MO'!$AH$9:$AH$42)</f>
        <v>1166.9775073831811</v>
      </c>
      <c r="D18" s="131">
        <f>SUMIF('04a_PROPUESTA_MO'!$R$9:$R$42,'07a_ATC'!A18,'04a_PROPUESTA_MO'!$AI$9:$AI$42)</f>
        <v>7535.2101041922524</v>
      </c>
      <c r="E18" s="131">
        <f>SUMIF('04a_PROPUESTA_MO'!$R$9:$R$42,'07a_ATC'!A18,'04a_PROPUESTA_MO'!$AJ$9:$AJ$42)</f>
        <v>0</v>
      </c>
      <c r="F18" s="131">
        <f t="shared" ref="F18:F72" si="10">SUM(C18:E18)</f>
        <v>8702.187611575433</v>
      </c>
      <c r="G18" s="131">
        <f t="shared" ref="G18:G72" si="11">B18-F18</f>
        <v>6900.3438999605678</v>
      </c>
      <c r="H18" s="159">
        <f>G18/$G$7</f>
        <v>0.11964839041391659</v>
      </c>
      <c r="I18" s="131">
        <f t="shared" ref="I18:I72" si="12">G18-J18</f>
        <v>1807.5715171192551</v>
      </c>
      <c r="J18" s="131">
        <f>SUMIF('04a_PROPUESTA_MO'!$R$9:$R$42,'07a_ATC'!A18,'04a_PROPUESTA_MO'!$AN$9:$AN$42)</f>
        <v>5092.7723828413127</v>
      </c>
      <c r="K18" s="132">
        <f t="shared" ref="K18:K72" si="13">J18/$J$7</f>
        <v>0.11588166139463785</v>
      </c>
      <c r="M18" s="151">
        <f>SUM(M19:M25)</f>
        <v>172667.10000000003</v>
      </c>
      <c r="N18" s="151">
        <f t="shared" ref="N18:AR18" si="14">SUM(N19:N25)</f>
        <v>4844.1899999999996</v>
      </c>
      <c r="O18" s="151">
        <f t="shared" si="14"/>
        <v>5288.29</v>
      </c>
      <c r="P18" s="151">
        <f t="shared" si="14"/>
        <v>5288.17</v>
      </c>
      <c r="Q18" s="151">
        <f t="shared" si="14"/>
        <v>5288.17</v>
      </c>
      <c r="R18" s="151">
        <f t="shared" si="14"/>
        <v>0</v>
      </c>
      <c r="S18" s="151">
        <f t="shared" si="14"/>
        <v>4901.88</v>
      </c>
      <c r="T18" s="151">
        <f t="shared" si="14"/>
        <v>4901.88</v>
      </c>
      <c r="U18" s="151">
        <f t="shared" si="14"/>
        <v>4901.88</v>
      </c>
      <c r="V18" s="151">
        <f t="shared" si="14"/>
        <v>4901.88</v>
      </c>
      <c r="W18" s="151">
        <f t="shared" si="14"/>
        <v>4901.88</v>
      </c>
      <c r="X18" s="151">
        <f t="shared" si="14"/>
        <v>4901.88</v>
      </c>
      <c r="Y18" s="151">
        <f t="shared" si="14"/>
        <v>4901.88</v>
      </c>
      <c r="Z18" s="151">
        <f t="shared" si="14"/>
        <v>4901.88</v>
      </c>
      <c r="AA18" s="151">
        <f t="shared" si="14"/>
        <v>4901.88</v>
      </c>
      <c r="AB18" s="151">
        <f t="shared" si="14"/>
        <v>4901.88</v>
      </c>
      <c r="AC18" s="151">
        <f t="shared" si="14"/>
        <v>4901.88</v>
      </c>
      <c r="AD18" s="151">
        <f t="shared" si="14"/>
        <v>4901.88</v>
      </c>
      <c r="AE18" s="151">
        <f t="shared" si="14"/>
        <v>4901.88</v>
      </c>
      <c r="AF18" s="151">
        <f t="shared" si="14"/>
        <v>4901.88</v>
      </c>
      <c r="AG18" s="151">
        <f t="shared" si="14"/>
        <v>4901.88</v>
      </c>
      <c r="AH18" s="151">
        <f t="shared" si="14"/>
        <v>4901.88</v>
      </c>
      <c r="AI18" s="151">
        <f t="shared" si="14"/>
        <v>4901.88</v>
      </c>
      <c r="AJ18" s="151">
        <f t="shared" si="14"/>
        <v>4901.88</v>
      </c>
      <c r="AK18" s="151">
        <f t="shared" si="14"/>
        <v>4901.88</v>
      </c>
      <c r="AL18" s="151">
        <f t="shared" si="14"/>
        <v>4901.88</v>
      </c>
      <c r="AM18" s="151">
        <f t="shared" si="14"/>
        <v>4901.88</v>
      </c>
      <c r="AN18" s="151">
        <f t="shared" si="14"/>
        <v>4901.88</v>
      </c>
      <c r="AO18" s="151">
        <f t="shared" si="14"/>
        <v>4901.88</v>
      </c>
      <c r="AP18" s="151">
        <f t="shared" si="14"/>
        <v>4901.88</v>
      </c>
      <c r="AQ18" s="151">
        <f t="shared" si="14"/>
        <v>4901.88</v>
      </c>
      <c r="AR18" s="151">
        <f t="shared" si="14"/>
        <v>4901.88</v>
      </c>
      <c r="AS18" s="151">
        <f t="shared" ref="AS18" si="15">SUM(AS19:AS25)</f>
        <v>4901.88</v>
      </c>
      <c r="AT18" s="151">
        <f t="shared" ref="AT18" si="16">SUM(AT19:AT25)</f>
        <v>4901.88</v>
      </c>
      <c r="AU18" s="151">
        <f t="shared" ref="AU18" si="17">SUM(AU19:AU25)</f>
        <v>4901.88</v>
      </c>
      <c r="AV18" s="151">
        <f t="shared" ref="AV18" si="18">SUM(AV19:AV25)</f>
        <v>4901.88</v>
      </c>
      <c r="AW18" s="151">
        <f t="shared" ref="AW18" si="19">SUM(AW19:AW25)</f>
        <v>4901.88</v>
      </c>
      <c r="AX18" s="151">
        <f t="shared" ref="AX18" si="20">SUM(AX19:AX25)</f>
        <v>0</v>
      </c>
      <c r="AY18" s="151">
        <f t="shared" ref="AY18:BF18" si="21">SUM(AY19:AY25)</f>
        <v>0</v>
      </c>
      <c r="AZ18" s="151">
        <f t="shared" si="21"/>
        <v>0</v>
      </c>
      <c r="BA18" s="151">
        <f t="shared" si="21"/>
        <v>0</v>
      </c>
      <c r="BB18" s="151">
        <f t="shared" si="21"/>
        <v>0</v>
      </c>
      <c r="BC18" s="151">
        <f t="shared" si="21"/>
        <v>0</v>
      </c>
      <c r="BD18" s="151">
        <f t="shared" si="21"/>
        <v>0</v>
      </c>
      <c r="BE18" s="151">
        <f t="shared" si="21"/>
        <v>0</v>
      </c>
      <c r="BF18" s="151">
        <f t="shared" si="21"/>
        <v>0</v>
      </c>
    </row>
    <row r="19" spans="1:58">
      <c r="A19" s="130"/>
      <c r="B19" s="127"/>
      <c r="C19" s="127"/>
      <c r="D19" s="127"/>
      <c r="E19" s="127"/>
      <c r="F19" s="127"/>
      <c r="G19" s="127"/>
      <c r="H19" s="160"/>
      <c r="I19" s="127"/>
      <c r="J19" s="127"/>
      <c r="K19" s="135"/>
      <c r="L19" s="138" t="str">
        <f>'00_Datos_Mercado'!$B$3</f>
        <v xml:space="preserve">a_CS - Creativos </v>
      </c>
      <c r="M19" s="148">
        <f t="shared" ref="M19:M26" si="22">SUM(N19:BF19)</f>
        <v>4027.45</v>
      </c>
      <c r="N19" s="145">
        <v>1909.24</v>
      </c>
      <c r="O19" s="145">
        <v>2118.21</v>
      </c>
      <c r="P19" s="145">
        <v>0</v>
      </c>
      <c r="Q19" s="145">
        <v>0</v>
      </c>
      <c r="R19" s="145">
        <v>0</v>
      </c>
      <c r="S19" s="145">
        <v>0</v>
      </c>
      <c r="T19" s="145">
        <v>0</v>
      </c>
      <c r="U19" s="145">
        <v>0</v>
      </c>
      <c r="V19" s="145">
        <v>0</v>
      </c>
      <c r="W19" s="145">
        <v>0</v>
      </c>
      <c r="X19" s="145">
        <v>0</v>
      </c>
      <c r="Y19" s="145">
        <v>0</v>
      </c>
      <c r="Z19" s="145">
        <v>0</v>
      </c>
      <c r="AA19" s="145">
        <v>0</v>
      </c>
      <c r="AB19" s="145">
        <v>0</v>
      </c>
      <c r="AC19" s="145">
        <v>0</v>
      </c>
      <c r="AD19" s="145">
        <v>0</v>
      </c>
      <c r="AE19" s="145">
        <v>0</v>
      </c>
      <c r="AF19" s="145">
        <v>0</v>
      </c>
      <c r="AG19" s="145">
        <v>0</v>
      </c>
      <c r="AH19" s="145">
        <v>0</v>
      </c>
      <c r="AI19" s="145">
        <v>0</v>
      </c>
      <c r="AJ19" s="145">
        <v>0</v>
      </c>
      <c r="AK19" s="145">
        <v>0</v>
      </c>
      <c r="AL19" s="145">
        <v>0</v>
      </c>
      <c r="AM19" s="145">
        <v>0</v>
      </c>
      <c r="AN19" s="145">
        <v>0</v>
      </c>
      <c r="AO19" s="145">
        <v>0</v>
      </c>
      <c r="AP19" s="145">
        <v>0</v>
      </c>
      <c r="AQ19" s="145">
        <v>0</v>
      </c>
      <c r="AR19" s="145">
        <v>0</v>
      </c>
      <c r="AS19" s="145">
        <v>0</v>
      </c>
      <c r="AT19" s="145">
        <v>0</v>
      </c>
      <c r="AU19" s="145">
        <v>0</v>
      </c>
      <c r="AV19" s="145">
        <v>0</v>
      </c>
      <c r="AW19" s="145">
        <v>0</v>
      </c>
      <c r="AX19" s="145">
        <v>0</v>
      </c>
      <c r="AY19" s="145">
        <v>0</v>
      </c>
      <c r="AZ19" s="145">
        <v>0</v>
      </c>
      <c r="BA19" s="145">
        <v>0</v>
      </c>
      <c r="BB19" s="145">
        <v>0</v>
      </c>
      <c r="BC19" s="145">
        <v>0</v>
      </c>
      <c r="BD19" s="145">
        <v>0</v>
      </c>
      <c r="BE19" s="145">
        <v>0</v>
      </c>
      <c r="BF19" s="145">
        <v>0</v>
      </c>
    </row>
    <row r="20" spans="1:58">
      <c r="A20" s="130"/>
      <c r="B20" s="127"/>
      <c r="C20" s="127"/>
      <c r="D20" s="127"/>
      <c r="E20" s="127"/>
      <c r="F20" s="127"/>
      <c r="G20" s="127"/>
      <c r="H20" s="160"/>
      <c r="I20" s="127"/>
      <c r="J20" s="127"/>
      <c r="K20" s="135"/>
      <c r="L20" s="139" t="str">
        <f>'00_Datos_Mercado'!$B$4</f>
        <v>b_CS - General (Comercio + Oficinas + Hospedaje)</v>
      </c>
      <c r="M20" s="148">
        <f t="shared" si="22"/>
        <v>16681.370000000003</v>
      </c>
      <c r="N20" s="145">
        <v>2934.95</v>
      </c>
      <c r="O20" s="145">
        <v>3170.08</v>
      </c>
      <c r="P20" s="145">
        <v>5288.17</v>
      </c>
      <c r="Q20" s="145">
        <v>5288.17</v>
      </c>
      <c r="R20" s="145">
        <v>0</v>
      </c>
      <c r="S20" s="145">
        <v>0</v>
      </c>
      <c r="T20" s="145">
        <v>0</v>
      </c>
      <c r="U20" s="145">
        <v>0</v>
      </c>
      <c r="V20" s="145">
        <v>0</v>
      </c>
      <c r="W20" s="145">
        <v>0</v>
      </c>
      <c r="X20" s="145">
        <v>0</v>
      </c>
      <c r="Y20" s="145">
        <v>0</v>
      </c>
      <c r="Z20" s="145">
        <v>0</v>
      </c>
      <c r="AA20" s="145">
        <v>0</v>
      </c>
      <c r="AB20" s="145">
        <v>0</v>
      </c>
      <c r="AC20" s="145">
        <v>0</v>
      </c>
      <c r="AD20" s="145">
        <v>0</v>
      </c>
      <c r="AE20" s="145">
        <v>0</v>
      </c>
      <c r="AF20" s="145">
        <v>0</v>
      </c>
      <c r="AG20" s="145">
        <v>0</v>
      </c>
      <c r="AH20" s="145">
        <v>0</v>
      </c>
      <c r="AI20" s="145">
        <v>0</v>
      </c>
      <c r="AJ20" s="145">
        <v>0</v>
      </c>
      <c r="AK20" s="145">
        <v>0</v>
      </c>
      <c r="AL20" s="145">
        <v>0</v>
      </c>
      <c r="AM20" s="145">
        <v>0</v>
      </c>
      <c r="AN20" s="145">
        <v>0</v>
      </c>
      <c r="AO20" s="145">
        <v>0</v>
      </c>
      <c r="AP20" s="145">
        <v>0</v>
      </c>
      <c r="AQ20" s="145">
        <v>0</v>
      </c>
      <c r="AR20" s="145">
        <v>0</v>
      </c>
      <c r="AS20" s="145">
        <v>0</v>
      </c>
      <c r="AT20" s="145">
        <v>0</v>
      </c>
      <c r="AU20" s="145">
        <v>0</v>
      </c>
      <c r="AV20" s="145">
        <v>0</v>
      </c>
      <c r="AW20" s="145">
        <v>0</v>
      </c>
      <c r="AX20" s="145">
        <v>0</v>
      </c>
      <c r="AY20" s="145">
        <v>0</v>
      </c>
      <c r="AZ20" s="145">
        <v>0</v>
      </c>
      <c r="BA20" s="145">
        <v>0</v>
      </c>
      <c r="BB20" s="145">
        <v>0</v>
      </c>
      <c r="BC20" s="145">
        <v>0</v>
      </c>
      <c r="BD20" s="145">
        <v>0</v>
      </c>
      <c r="BE20" s="145">
        <v>0</v>
      </c>
      <c r="BF20" s="145">
        <v>0</v>
      </c>
    </row>
    <row r="21" spans="1:58">
      <c r="A21" s="130"/>
      <c r="B21" s="127"/>
      <c r="C21" s="127"/>
      <c r="D21" s="127"/>
      <c r="E21" s="127"/>
      <c r="F21" s="127"/>
      <c r="G21" s="127"/>
      <c r="H21" s="160"/>
      <c r="I21" s="127"/>
      <c r="J21" s="127"/>
      <c r="K21" s="135"/>
      <c r="L21" s="140" t="str">
        <f>'00_Datos_Mercado'!$B$5</f>
        <v>c_CS - Grandes Superficies</v>
      </c>
      <c r="M21" s="148">
        <f t="shared" si="22"/>
        <v>0</v>
      </c>
      <c r="N21" s="145">
        <v>0</v>
      </c>
      <c r="O21" s="145">
        <v>0</v>
      </c>
      <c r="P21" s="145">
        <v>0</v>
      </c>
      <c r="Q21" s="145">
        <v>0</v>
      </c>
      <c r="R21" s="145">
        <v>0</v>
      </c>
      <c r="S21" s="145">
        <v>0</v>
      </c>
      <c r="T21" s="145">
        <v>0</v>
      </c>
      <c r="U21" s="145">
        <v>0</v>
      </c>
      <c r="V21" s="145">
        <v>0</v>
      </c>
      <c r="W21" s="145">
        <v>0</v>
      </c>
      <c r="X21" s="145">
        <v>0</v>
      </c>
      <c r="Y21" s="145">
        <v>0</v>
      </c>
      <c r="Z21" s="145">
        <v>0</v>
      </c>
      <c r="AA21" s="145">
        <v>0</v>
      </c>
      <c r="AB21" s="145">
        <v>0</v>
      </c>
      <c r="AC21" s="145">
        <v>0</v>
      </c>
      <c r="AD21" s="145">
        <v>0</v>
      </c>
      <c r="AE21" s="145">
        <v>0</v>
      </c>
      <c r="AF21" s="145">
        <v>0</v>
      </c>
      <c r="AG21" s="145">
        <v>0</v>
      </c>
      <c r="AH21" s="145">
        <v>0</v>
      </c>
      <c r="AI21" s="145">
        <v>0</v>
      </c>
      <c r="AJ21" s="145">
        <v>0</v>
      </c>
      <c r="AK21" s="145">
        <v>0</v>
      </c>
      <c r="AL21" s="145">
        <v>0</v>
      </c>
      <c r="AM21" s="145">
        <v>0</v>
      </c>
      <c r="AN21" s="145">
        <v>0</v>
      </c>
      <c r="AO21" s="145">
        <v>0</v>
      </c>
      <c r="AP21" s="145">
        <v>0</v>
      </c>
      <c r="AQ21" s="145">
        <v>0</v>
      </c>
      <c r="AR21" s="145">
        <v>0</v>
      </c>
      <c r="AS21" s="145">
        <v>0</v>
      </c>
      <c r="AT21" s="145">
        <v>0</v>
      </c>
      <c r="AU21" s="145">
        <v>0</v>
      </c>
      <c r="AV21" s="145">
        <v>0</v>
      </c>
      <c r="AW21" s="145">
        <v>0</v>
      </c>
      <c r="AX21" s="145">
        <v>0</v>
      </c>
      <c r="AY21" s="145">
        <v>0</v>
      </c>
      <c r="AZ21" s="145">
        <v>0</v>
      </c>
      <c r="BA21" s="145">
        <v>0</v>
      </c>
      <c r="BB21" s="145">
        <v>0</v>
      </c>
      <c r="BC21" s="145">
        <v>0</v>
      </c>
      <c r="BD21" s="145">
        <v>0</v>
      </c>
      <c r="BE21" s="145">
        <v>0</v>
      </c>
      <c r="BF21" s="145">
        <v>0</v>
      </c>
    </row>
    <row r="22" spans="1:58">
      <c r="A22" s="130"/>
      <c r="B22" s="127"/>
      <c r="C22" s="127"/>
      <c r="D22" s="127"/>
      <c r="E22" s="127"/>
      <c r="F22" s="127"/>
      <c r="G22" s="127"/>
      <c r="H22" s="160"/>
      <c r="I22" s="127"/>
      <c r="J22" s="127"/>
      <c r="K22" s="135"/>
      <c r="L22" s="141" t="str">
        <f>'00_Datos_Mercado'!$B$6</f>
        <v>d_CS - Torre Empresarial (Oficinas + Hospedaje)</v>
      </c>
      <c r="M22" s="148">
        <f t="shared" si="22"/>
        <v>0</v>
      </c>
      <c r="N22" s="145">
        <v>0</v>
      </c>
      <c r="O22" s="145">
        <v>0</v>
      </c>
      <c r="P22" s="145">
        <v>0</v>
      </c>
      <c r="Q22" s="145">
        <v>0</v>
      </c>
      <c r="R22" s="145">
        <v>0</v>
      </c>
      <c r="S22" s="145">
        <v>0</v>
      </c>
      <c r="T22" s="145">
        <v>0</v>
      </c>
      <c r="U22" s="145">
        <v>0</v>
      </c>
      <c r="V22" s="145">
        <v>0</v>
      </c>
      <c r="W22" s="145">
        <v>0</v>
      </c>
      <c r="X22" s="145">
        <v>0</v>
      </c>
      <c r="Y22" s="145">
        <v>0</v>
      </c>
      <c r="Z22" s="145">
        <v>0</v>
      </c>
      <c r="AA22" s="145">
        <v>0</v>
      </c>
      <c r="AB22" s="145">
        <v>0</v>
      </c>
      <c r="AC22" s="145">
        <v>0</v>
      </c>
      <c r="AD22" s="145">
        <v>0</v>
      </c>
      <c r="AE22" s="145">
        <v>0</v>
      </c>
      <c r="AF22" s="145">
        <v>0</v>
      </c>
      <c r="AG22" s="145">
        <v>0</v>
      </c>
      <c r="AH22" s="145">
        <v>0</v>
      </c>
      <c r="AI22" s="145">
        <v>0</v>
      </c>
      <c r="AJ22" s="145">
        <v>0</v>
      </c>
      <c r="AK22" s="145">
        <v>0</v>
      </c>
      <c r="AL22" s="145">
        <v>0</v>
      </c>
      <c r="AM22" s="145">
        <v>0</v>
      </c>
      <c r="AN22" s="145">
        <v>0</v>
      </c>
      <c r="AO22" s="145">
        <v>0</v>
      </c>
      <c r="AP22" s="145">
        <v>0</v>
      </c>
      <c r="AQ22" s="145">
        <v>0</v>
      </c>
      <c r="AR22" s="145">
        <v>0</v>
      </c>
      <c r="AS22" s="145">
        <v>0</v>
      </c>
      <c r="AT22" s="145">
        <v>0</v>
      </c>
      <c r="AU22" s="145">
        <v>0</v>
      </c>
      <c r="AV22" s="145">
        <v>0</v>
      </c>
      <c r="AW22" s="145">
        <v>0</v>
      </c>
      <c r="AX22" s="145">
        <v>0</v>
      </c>
      <c r="AY22" s="145">
        <v>0</v>
      </c>
      <c r="AZ22" s="145">
        <v>0</v>
      </c>
      <c r="BA22" s="145">
        <v>0</v>
      </c>
      <c r="BB22" s="145">
        <v>0</v>
      </c>
      <c r="BC22" s="145">
        <v>0</v>
      </c>
      <c r="BD22" s="145">
        <v>0</v>
      </c>
      <c r="BE22" s="145">
        <v>0</v>
      </c>
      <c r="BF22" s="145">
        <v>0</v>
      </c>
    </row>
    <row r="23" spans="1:58">
      <c r="A23" s="130"/>
      <c r="B23" s="127"/>
      <c r="C23" s="127"/>
      <c r="D23" s="127"/>
      <c r="E23" s="127"/>
      <c r="F23" s="127"/>
      <c r="G23" s="127"/>
      <c r="H23" s="160"/>
      <c r="I23" s="127"/>
      <c r="J23" s="127"/>
      <c r="K23" s="135"/>
      <c r="L23" s="142" t="str">
        <f>'00_Datos_Mercado'!$B$7</f>
        <v>e_CS - Innovation (H, CS, Gamers)</v>
      </c>
      <c r="M23" s="148">
        <f t="shared" si="22"/>
        <v>0</v>
      </c>
      <c r="N23" s="145">
        <v>0</v>
      </c>
      <c r="O23" s="145">
        <v>0</v>
      </c>
      <c r="P23" s="145">
        <v>0</v>
      </c>
      <c r="Q23" s="145">
        <v>0</v>
      </c>
      <c r="R23" s="145">
        <v>0</v>
      </c>
      <c r="S23" s="145">
        <v>0</v>
      </c>
      <c r="T23" s="145">
        <v>0</v>
      </c>
      <c r="U23" s="145">
        <v>0</v>
      </c>
      <c r="V23" s="145">
        <v>0</v>
      </c>
      <c r="W23" s="145">
        <v>0</v>
      </c>
      <c r="X23" s="145">
        <v>0</v>
      </c>
      <c r="Y23" s="145">
        <v>0</v>
      </c>
      <c r="Z23" s="145">
        <v>0</v>
      </c>
      <c r="AA23" s="145">
        <v>0</v>
      </c>
      <c r="AB23" s="145">
        <v>0</v>
      </c>
      <c r="AC23" s="145">
        <v>0</v>
      </c>
      <c r="AD23" s="145">
        <v>0</v>
      </c>
      <c r="AE23" s="145">
        <v>0</v>
      </c>
      <c r="AF23" s="145">
        <v>0</v>
      </c>
      <c r="AG23" s="145">
        <v>0</v>
      </c>
      <c r="AH23" s="145">
        <v>0</v>
      </c>
      <c r="AI23" s="145">
        <v>0</v>
      </c>
      <c r="AJ23" s="145">
        <v>0</v>
      </c>
      <c r="AK23" s="145">
        <v>0</v>
      </c>
      <c r="AL23" s="145">
        <v>0</v>
      </c>
      <c r="AM23" s="145">
        <v>0</v>
      </c>
      <c r="AN23" s="145">
        <v>0</v>
      </c>
      <c r="AO23" s="145">
        <v>0</v>
      </c>
      <c r="AP23" s="145">
        <v>0</v>
      </c>
      <c r="AQ23" s="145">
        <v>0</v>
      </c>
      <c r="AR23" s="145">
        <v>0</v>
      </c>
      <c r="AS23" s="145">
        <v>0</v>
      </c>
      <c r="AT23" s="145">
        <v>0</v>
      </c>
      <c r="AU23" s="145">
        <v>0</v>
      </c>
      <c r="AV23" s="145">
        <v>0</v>
      </c>
      <c r="AW23" s="145">
        <v>0</v>
      </c>
      <c r="AX23" s="145">
        <v>0</v>
      </c>
      <c r="AY23" s="145">
        <v>0</v>
      </c>
      <c r="AZ23" s="145">
        <v>0</v>
      </c>
      <c r="BA23" s="145">
        <v>0</v>
      </c>
      <c r="BB23" s="145">
        <v>0</v>
      </c>
      <c r="BC23" s="145">
        <v>0</v>
      </c>
      <c r="BD23" s="145">
        <v>0</v>
      </c>
      <c r="BE23" s="145">
        <v>0</v>
      </c>
      <c r="BF23" s="145">
        <v>0</v>
      </c>
    </row>
    <row r="24" spans="1:58">
      <c r="A24" s="130"/>
      <c r="B24" s="127"/>
      <c r="C24" s="127"/>
      <c r="D24" s="127"/>
      <c r="E24" s="127"/>
      <c r="F24" s="127"/>
      <c r="G24" s="127"/>
      <c r="H24" s="160"/>
      <c r="I24" s="127"/>
      <c r="J24" s="127"/>
      <c r="K24" s="135"/>
      <c r="L24" s="144" t="str">
        <f>'00_Datos_Mercado'!$B$8</f>
        <v xml:space="preserve">f_RES - VIS Ru </v>
      </c>
      <c r="M24" s="148">
        <f t="shared" si="22"/>
        <v>19607.52</v>
      </c>
      <c r="N24" s="145">
        <v>0</v>
      </c>
      <c r="O24" s="145">
        <v>0</v>
      </c>
      <c r="P24" s="145">
        <v>0</v>
      </c>
      <c r="Q24" s="145">
        <v>0</v>
      </c>
      <c r="R24" s="145">
        <v>0</v>
      </c>
      <c r="S24" s="145">
        <v>4901.88</v>
      </c>
      <c r="T24" s="145">
        <v>4901.88</v>
      </c>
      <c r="U24" s="145">
        <v>4901.88</v>
      </c>
      <c r="V24" s="145">
        <v>4901.88</v>
      </c>
      <c r="W24" s="145">
        <v>0</v>
      </c>
      <c r="X24" s="145">
        <v>0</v>
      </c>
      <c r="Y24" s="145">
        <v>0</v>
      </c>
      <c r="Z24" s="145">
        <v>0</v>
      </c>
      <c r="AA24" s="145">
        <v>0</v>
      </c>
      <c r="AB24" s="145">
        <v>0</v>
      </c>
      <c r="AC24" s="145">
        <v>0</v>
      </c>
      <c r="AD24" s="145">
        <v>0</v>
      </c>
      <c r="AE24" s="145">
        <v>0</v>
      </c>
      <c r="AF24" s="145">
        <v>0</v>
      </c>
      <c r="AG24" s="145">
        <v>0</v>
      </c>
      <c r="AH24" s="145">
        <v>0</v>
      </c>
      <c r="AI24" s="145">
        <v>0</v>
      </c>
      <c r="AJ24" s="145">
        <v>0</v>
      </c>
      <c r="AK24" s="145">
        <v>0</v>
      </c>
      <c r="AL24" s="145">
        <v>0</v>
      </c>
      <c r="AM24" s="145">
        <v>0</v>
      </c>
      <c r="AN24" s="145">
        <v>0</v>
      </c>
      <c r="AO24" s="145">
        <v>0</v>
      </c>
      <c r="AP24" s="145">
        <v>0</v>
      </c>
      <c r="AQ24" s="145">
        <v>0</v>
      </c>
      <c r="AR24" s="145">
        <v>0</v>
      </c>
      <c r="AS24" s="145">
        <v>0</v>
      </c>
      <c r="AT24" s="145">
        <v>0</v>
      </c>
      <c r="AU24" s="145">
        <v>0</v>
      </c>
      <c r="AV24" s="145">
        <v>0</v>
      </c>
      <c r="AW24" s="145">
        <v>0</v>
      </c>
      <c r="AX24" s="145">
        <v>0</v>
      </c>
      <c r="AY24" s="145">
        <v>0</v>
      </c>
      <c r="AZ24" s="145">
        <v>0</v>
      </c>
      <c r="BA24" s="145">
        <v>0</v>
      </c>
      <c r="BB24" s="145">
        <v>0</v>
      </c>
      <c r="BC24" s="145">
        <v>0</v>
      </c>
      <c r="BD24" s="145">
        <v>0</v>
      </c>
      <c r="BE24" s="145">
        <v>0</v>
      </c>
      <c r="BF24" s="145">
        <v>0</v>
      </c>
    </row>
    <row r="25" spans="1:58">
      <c r="A25" s="130"/>
      <c r="B25" s="127"/>
      <c r="C25" s="127"/>
      <c r="D25" s="127"/>
      <c r="E25" s="127"/>
      <c r="F25" s="127"/>
      <c r="G25" s="127"/>
      <c r="H25" s="160"/>
      <c r="I25" s="127"/>
      <c r="J25" s="127"/>
      <c r="K25" s="135"/>
      <c r="L25" s="143" t="str">
        <f>'00_Datos_Mercado'!$B$10</f>
        <v>i_RES - No VIS</v>
      </c>
      <c r="M25" s="148">
        <f t="shared" si="22"/>
        <v>132350.76000000004</v>
      </c>
      <c r="N25" s="145">
        <v>0</v>
      </c>
      <c r="O25" s="145">
        <v>0</v>
      </c>
      <c r="P25" s="145">
        <v>0</v>
      </c>
      <c r="Q25" s="145">
        <v>0</v>
      </c>
      <c r="R25" s="145">
        <v>0</v>
      </c>
      <c r="S25" s="145">
        <v>0</v>
      </c>
      <c r="T25" s="145">
        <v>0</v>
      </c>
      <c r="U25" s="145">
        <v>0</v>
      </c>
      <c r="V25" s="145">
        <v>0</v>
      </c>
      <c r="W25" s="145">
        <v>4901.88</v>
      </c>
      <c r="X25" s="145">
        <v>4901.88</v>
      </c>
      <c r="Y25" s="145">
        <v>4901.88</v>
      </c>
      <c r="Z25" s="145">
        <v>4901.88</v>
      </c>
      <c r="AA25" s="145">
        <v>4901.88</v>
      </c>
      <c r="AB25" s="145">
        <v>4901.88</v>
      </c>
      <c r="AC25" s="145">
        <v>4901.88</v>
      </c>
      <c r="AD25" s="145">
        <v>4901.88</v>
      </c>
      <c r="AE25" s="145">
        <v>4901.88</v>
      </c>
      <c r="AF25" s="145">
        <v>4901.88</v>
      </c>
      <c r="AG25" s="145">
        <v>4901.88</v>
      </c>
      <c r="AH25" s="145">
        <v>4901.88</v>
      </c>
      <c r="AI25" s="145">
        <v>4901.88</v>
      </c>
      <c r="AJ25" s="145">
        <v>4901.88</v>
      </c>
      <c r="AK25" s="145">
        <v>4901.88</v>
      </c>
      <c r="AL25" s="145">
        <v>4901.88</v>
      </c>
      <c r="AM25" s="145">
        <v>4901.88</v>
      </c>
      <c r="AN25" s="145">
        <v>4901.88</v>
      </c>
      <c r="AO25" s="145">
        <v>4901.88</v>
      </c>
      <c r="AP25" s="145">
        <v>4901.88</v>
      </c>
      <c r="AQ25" s="145">
        <v>4901.88</v>
      </c>
      <c r="AR25" s="145">
        <v>4901.88</v>
      </c>
      <c r="AS25" s="145">
        <v>4901.88</v>
      </c>
      <c r="AT25" s="145">
        <v>4901.88</v>
      </c>
      <c r="AU25" s="145">
        <v>4901.88</v>
      </c>
      <c r="AV25" s="145">
        <v>4901.88</v>
      </c>
      <c r="AW25" s="145">
        <v>4901.88</v>
      </c>
      <c r="AX25" s="145">
        <v>0</v>
      </c>
      <c r="AY25" s="145">
        <v>0</v>
      </c>
      <c r="AZ25" s="145">
        <v>0</v>
      </c>
      <c r="BA25" s="129">
        <v>0</v>
      </c>
      <c r="BB25" s="145">
        <v>0</v>
      </c>
      <c r="BC25" s="145">
        <v>0</v>
      </c>
      <c r="BD25" s="145">
        <v>0</v>
      </c>
      <c r="BE25" s="145">
        <v>0</v>
      </c>
      <c r="BF25" s="145">
        <v>0</v>
      </c>
    </row>
    <row r="26" spans="1:58">
      <c r="A26" s="130"/>
      <c r="B26" s="127"/>
      <c r="C26" s="127"/>
      <c r="D26" s="127"/>
      <c r="E26" s="127"/>
      <c r="F26" s="127"/>
      <c r="G26" s="127"/>
      <c r="H26" s="160"/>
      <c r="I26" s="127"/>
      <c r="J26" s="127"/>
      <c r="K26" s="135"/>
      <c r="L26" s="264" t="s">
        <v>697</v>
      </c>
      <c r="M26" s="264">
        <f t="shared" si="22"/>
        <v>9803.76</v>
      </c>
      <c r="N26" s="265">
        <v>0</v>
      </c>
      <c r="O26" s="265">
        <v>0</v>
      </c>
      <c r="P26" s="265">
        <v>0</v>
      </c>
      <c r="Q26" s="265">
        <v>0</v>
      </c>
      <c r="R26" s="265">
        <v>4901.88</v>
      </c>
      <c r="S26" s="265"/>
      <c r="T26" s="265">
        <v>0</v>
      </c>
      <c r="U26" s="265">
        <v>0</v>
      </c>
      <c r="V26" s="265">
        <v>0</v>
      </c>
      <c r="W26" s="265">
        <v>0</v>
      </c>
      <c r="X26" s="265">
        <v>0</v>
      </c>
      <c r="Y26" s="265">
        <v>0</v>
      </c>
      <c r="Z26" s="265">
        <v>0</v>
      </c>
      <c r="AA26" s="265">
        <v>0</v>
      </c>
      <c r="AB26" s="265">
        <v>0</v>
      </c>
      <c r="AC26" s="265">
        <v>0</v>
      </c>
      <c r="AD26" s="265">
        <v>0</v>
      </c>
      <c r="AE26" s="265">
        <v>0</v>
      </c>
      <c r="AF26" s="265">
        <v>0</v>
      </c>
      <c r="AG26" s="265">
        <v>0</v>
      </c>
      <c r="AH26" s="265">
        <v>0</v>
      </c>
      <c r="AI26" s="265">
        <v>0</v>
      </c>
      <c r="AJ26" s="265">
        <v>0</v>
      </c>
      <c r="AK26" s="265">
        <v>0</v>
      </c>
      <c r="AL26" s="265">
        <v>0</v>
      </c>
      <c r="AM26" s="265">
        <v>0</v>
      </c>
      <c r="AN26" s="265">
        <v>0</v>
      </c>
      <c r="AO26" s="265">
        <v>0</v>
      </c>
      <c r="AP26" s="265">
        <v>0</v>
      </c>
      <c r="AQ26" s="265">
        <v>0</v>
      </c>
      <c r="AR26" s="265">
        <v>0</v>
      </c>
      <c r="AS26" s="265">
        <v>0</v>
      </c>
      <c r="AT26" s="265">
        <v>0</v>
      </c>
      <c r="AU26" s="265">
        <v>0</v>
      </c>
      <c r="AV26" s="265">
        <v>0</v>
      </c>
      <c r="AW26" s="265">
        <v>0</v>
      </c>
      <c r="AX26" s="265">
        <v>4901.88</v>
      </c>
      <c r="AY26" s="265">
        <v>0</v>
      </c>
      <c r="AZ26" s="265">
        <v>0</v>
      </c>
      <c r="BA26" s="265">
        <v>0</v>
      </c>
      <c r="BB26" s="265">
        <v>0</v>
      </c>
      <c r="BC26" s="265">
        <v>0</v>
      </c>
      <c r="BD26" s="265">
        <v>0</v>
      </c>
      <c r="BE26" s="265">
        <v>0</v>
      </c>
      <c r="BF26" s="265">
        <v>0</v>
      </c>
    </row>
    <row r="27" spans="1:58" s="134" customFormat="1">
      <c r="A27" s="130">
        <v>3</v>
      </c>
      <c r="B27" s="131">
        <f>SUMIF('04a_PROPUESTA_MO'!$R$9:$R$42,'07a_ATC'!A27,'04a_PROPUESTA_MO'!$T$9:$T$42)</f>
        <v>19436.47454042</v>
      </c>
      <c r="C27" s="131">
        <f>SUMIF('04a_PROPUESTA_MO'!$R$9:$R$42,'07a_ATC'!A27,'04a_PROPUESTA_MO'!$AH$9:$AH$42)</f>
        <v>2936.0801443705127</v>
      </c>
      <c r="D27" s="131">
        <f>SUMIF('04a_PROPUESTA_MO'!$R$9:$R$42,'07a_ATC'!A27,'04a_PROPUESTA_MO'!$AI$9:$AI$42)</f>
        <v>9141.2862344640271</v>
      </c>
      <c r="E27" s="131">
        <f>SUMIF('04a_PROPUESTA_MO'!$R$9:$R$42,'07a_ATC'!A27,'04a_PROPUESTA_MO'!$AJ$9:$AJ$42)</f>
        <v>0</v>
      </c>
      <c r="F27" s="131">
        <f t="shared" si="10"/>
        <v>12077.36637883454</v>
      </c>
      <c r="G27" s="131">
        <f t="shared" si="11"/>
        <v>7359.10816158546</v>
      </c>
      <c r="H27" s="159">
        <f>G27/$G$7</f>
        <v>0.12760312517476829</v>
      </c>
      <c r="I27" s="131">
        <f t="shared" si="12"/>
        <v>1927.30540823921</v>
      </c>
      <c r="J27" s="131">
        <f>SUMIF('04a_PROPUESTA_MO'!$R$9:$R$42,'07a_ATC'!A27,'04a_PROPUESTA_MO'!$AN$9:$AN$42)</f>
        <v>5431.80275334625</v>
      </c>
      <c r="K27" s="132">
        <f t="shared" si="13"/>
        <v>0.12359600628264419</v>
      </c>
      <c r="L27" s="131"/>
      <c r="M27" s="151">
        <f>SUM(M28:M34)</f>
        <v>179127.64</v>
      </c>
      <c r="N27" s="151">
        <f t="shared" ref="N27:AR27" si="23">SUM(N28:N34)</f>
        <v>5093.3</v>
      </c>
      <c r="O27" s="151">
        <f t="shared" si="23"/>
        <v>5530.72</v>
      </c>
      <c r="P27" s="151">
        <f t="shared" si="23"/>
        <v>5530.72</v>
      </c>
      <c r="Q27" s="151">
        <f t="shared" si="23"/>
        <v>5530.72</v>
      </c>
      <c r="R27" s="151">
        <f t="shared" si="23"/>
        <v>0</v>
      </c>
      <c r="S27" s="151">
        <f t="shared" si="23"/>
        <v>5078.78</v>
      </c>
      <c r="T27" s="151">
        <f t="shared" si="23"/>
        <v>5078.78</v>
      </c>
      <c r="U27" s="151">
        <f t="shared" si="23"/>
        <v>5078.78</v>
      </c>
      <c r="V27" s="151">
        <f t="shared" si="23"/>
        <v>5078.78</v>
      </c>
      <c r="W27" s="151">
        <f t="shared" si="23"/>
        <v>5078.78</v>
      </c>
      <c r="X27" s="151">
        <f t="shared" si="23"/>
        <v>5078.78</v>
      </c>
      <c r="Y27" s="151">
        <f t="shared" si="23"/>
        <v>5078.78</v>
      </c>
      <c r="Z27" s="151">
        <f t="shared" si="23"/>
        <v>5078.78</v>
      </c>
      <c r="AA27" s="151">
        <f t="shared" si="23"/>
        <v>5078.78</v>
      </c>
      <c r="AB27" s="151">
        <f t="shared" si="23"/>
        <v>5078.78</v>
      </c>
      <c r="AC27" s="151">
        <f t="shared" si="23"/>
        <v>5078.78</v>
      </c>
      <c r="AD27" s="151">
        <f t="shared" si="23"/>
        <v>5078.78</v>
      </c>
      <c r="AE27" s="151">
        <f t="shared" si="23"/>
        <v>5078.78</v>
      </c>
      <c r="AF27" s="151">
        <f t="shared" si="23"/>
        <v>5078.78</v>
      </c>
      <c r="AG27" s="151">
        <f t="shared" si="23"/>
        <v>5078.78</v>
      </c>
      <c r="AH27" s="151">
        <f t="shared" si="23"/>
        <v>5078.78</v>
      </c>
      <c r="AI27" s="151">
        <f t="shared" si="23"/>
        <v>5078.78</v>
      </c>
      <c r="AJ27" s="151">
        <f t="shared" si="23"/>
        <v>5078.78</v>
      </c>
      <c r="AK27" s="151">
        <f t="shared" si="23"/>
        <v>5078.78</v>
      </c>
      <c r="AL27" s="151">
        <f t="shared" si="23"/>
        <v>5078.78</v>
      </c>
      <c r="AM27" s="151">
        <f t="shared" si="23"/>
        <v>5078.78</v>
      </c>
      <c r="AN27" s="151">
        <f t="shared" si="23"/>
        <v>5078.78</v>
      </c>
      <c r="AO27" s="151">
        <f t="shared" si="23"/>
        <v>5078.78</v>
      </c>
      <c r="AP27" s="151">
        <f t="shared" si="23"/>
        <v>5078.78</v>
      </c>
      <c r="AQ27" s="151">
        <f t="shared" si="23"/>
        <v>5078.78</v>
      </c>
      <c r="AR27" s="151">
        <f t="shared" si="23"/>
        <v>5078.78</v>
      </c>
      <c r="AS27" s="151">
        <f t="shared" ref="AS27" si="24">SUM(AS28:AS34)</f>
        <v>5078.78</v>
      </c>
      <c r="AT27" s="151">
        <f t="shared" ref="AT27" si="25">SUM(AT28:AT34)</f>
        <v>5078.78</v>
      </c>
      <c r="AU27" s="151">
        <f t="shared" ref="AU27" si="26">SUM(AU28:AU34)</f>
        <v>5078.78</v>
      </c>
      <c r="AV27" s="151">
        <f t="shared" ref="AV27" si="27">SUM(AV28:AV34)</f>
        <v>5078.78</v>
      </c>
      <c r="AW27" s="151">
        <f t="shared" ref="AW27" si="28">SUM(AW28:AW34)</f>
        <v>5078.78</v>
      </c>
      <c r="AX27" s="151">
        <f t="shared" ref="AX27" si="29">SUM(AX28:AX34)</f>
        <v>0</v>
      </c>
      <c r="AY27" s="151">
        <f t="shared" ref="AY27:BF27" si="30">SUM(AY28:AY34)</f>
        <v>0</v>
      </c>
      <c r="AZ27" s="151">
        <f t="shared" si="30"/>
        <v>0</v>
      </c>
      <c r="BA27" s="151">
        <f t="shared" si="30"/>
        <v>0</v>
      </c>
      <c r="BB27" s="151">
        <f t="shared" si="30"/>
        <v>0</v>
      </c>
      <c r="BC27" s="151">
        <f t="shared" si="30"/>
        <v>0</v>
      </c>
      <c r="BD27" s="151">
        <f t="shared" si="30"/>
        <v>0</v>
      </c>
      <c r="BE27" s="151">
        <f t="shared" si="30"/>
        <v>0</v>
      </c>
      <c r="BF27" s="151">
        <f t="shared" si="30"/>
        <v>0</v>
      </c>
    </row>
    <row r="28" spans="1:58">
      <c r="A28" s="130"/>
      <c r="B28" s="127"/>
      <c r="C28" s="127"/>
      <c r="D28" s="127"/>
      <c r="E28" s="127"/>
      <c r="F28" s="127"/>
      <c r="G28" s="127"/>
      <c r="H28" s="160"/>
      <c r="I28" s="127"/>
      <c r="J28" s="127"/>
      <c r="K28" s="135"/>
      <c r="L28" s="138" t="str">
        <f>'00_Datos_Mercado'!$B$3</f>
        <v xml:space="preserve">a_CS - Creativos </v>
      </c>
      <c r="M28" s="148">
        <f t="shared" ref="M28:M35" si="31">SUM(N28:BF28)</f>
        <v>3623.67</v>
      </c>
      <c r="N28" s="145">
        <v>1720.93</v>
      </c>
      <c r="O28" s="145">
        <v>1902.74</v>
      </c>
      <c r="P28" s="145">
        <v>0</v>
      </c>
      <c r="Q28" s="145">
        <v>0</v>
      </c>
      <c r="R28" s="145">
        <v>0</v>
      </c>
      <c r="S28" s="145">
        <v>0</v>
      </c>
      <c r="T28" s="145">
        <v>0</v>
      </c>
      <c r="U28" s="145">
        <v>0</v>
      </c>
      <c r="V28" s="145">
        <v>0</v>
      </c>
      <c r="W28" s="145">
        <v>0</v>
      </c>
      <c r="X28" s="145">
        <v>0</v>
      </c>
      <c r="Y28" s="145">
        <v>0</v>
      </c>
      <c r="Z28" s="145">
        <v>0</v>
      </c>
      <c r="AA28" s="145">
        <v>0</v>
      </c>
      <c r="AB28" s="145">
        <v>0</v>
      </c>
      <c r="AC28" s="145">
        <v>0</v>
      </c>
      <c r="AD28" s="145">
        <v>0</v>
      </c>
      <c r="AE28" s="145">
        <v>0</v>
      </c>
      <c r="AF28" s="145">
        <v>0</v>
      </c>
      <c r="AG28" s="145">
        <v>0</v>
      </c>
      <c r="AH28" s="145">
        <v>0</v>
      </c>
      <c r="AI28" s="145">
        <v>0</v>
      </c>
      <c r="AJ28" s="145">
        <v>0</v>
      </c>
      <c r="AK28" s="145">
        <v>0</v>
      </c>
      <c r="AL28" s="145">
        <v>0</v>
      </c>
      <c r="AM28" s="145">
        <v>0</v>
      </c>
      <c r="AN28" s="145">
        <v>0</v>
      </c>
      <c r="AO28" s="145">
        <v>0</v>
      </c>
      <c r="AP28" s="145">
        <v>0</v>
      </c>
      <c r="AQ28" s="145">
        <v>0</v>
      </c>
      <c r="AR28" s="145">
        <v>0</v>
      </c>
      <c r="AS28" s="145">
        <v>0</v>
      </c>
      <c r="AT28" s="145">
        <v>0</v>
      </c>
      <c r="AU28" s="145">
        <v>0</v>
      </c>
      <c r="AV28" s="145">
        <v>0</v>
      </c>
      <c r="AW28" s="145">
        <v>0</v>
      </c>
      <c r="AX28" s="145">
        <v>0</v>
      </c>
      <c r="AY28" s="145">
        <v>0</v>
      </c>
      <c r="AZ28" s="145">
        <v>0</v>
      </c>
      <c r="BA28" s="145">
        <v>0</v>
      </c>
      <c r="BB28" s="145">
        <v>0</v>
      </c>
      <c r="BC28" s="145">
        <v>0</v>
      </c>
      <c r="BD28" s="145">
        <v>0</v>
      </c>
      <c r="BE28" s="145">
        <v>0</v>
      </c>
      <c r="BF28" s="145">
        <v>0</v>
      </c>
    </row>
    <row r="29" spans="1:58">
      <c r="A29" s="130"/>
      <c r="B29" s="127"/>
      <c r="C29" s="127"/>
      <c r="D29" s="127"/>
      <c r="E29" s="127"/>
      <c r="F29" s="127"/>
      <c r="G29" s="127"/>
      <c r="H29" s="160"/>
      <c r="I29" s="127"/>
      <c r="J29" s="127"/>
      <c r="K29" s="135"/>
      <c r="L29" s="139" t="str">
        <f>'00_Datos_Mercado'!$B$4</f>
        <v>b_CS - General (Comercio + Oficinas + Hospedaje)</v>
      </c>
      <c r="M29" s="148">
        <f t="shared" si="31"/>
        <v>18061.79</v>
      </c>
      <c r="N29" s="145">
        <v>3372.37</v>
      </c>
      <c r="O29" s="145">
        <v>3627.98</v>
      </c>
      <c r="P29" s="145">
        <v>5530.72</v>
      </c>
      <c r="Q29" s="145">
        <v>5530.72</v>
      </c>
      <c r="R29" s="145">
        <v>0</v>
      </c>
      <c r="S29" s="145">
        <v>0</v>
      </c>
      <c r="T29" s="145">
        <v>0</v>
      </c>
      <c r="U29" s="145">
        <v>0</v>
      </c>
      <c r="V29" s="145">
        <v>0</v>
      </c>
      <c r="W29" s="145">
        <v>0</v>
      </c>
      <c r="X29" s="145">
        <v>0</v>
      </c>
      <c r="Y29" s="145">
        <v>0</v>
      </c>
      <c r="Z29" s="145">
        <v>0</v>
      </c>
      <c r="AA29" s="145">
        <v>0</v>
      </c>
      <c r="AB29" s="145">
        <v>0</v>
      </c>
      <c r="AC29" s="145">
        <v>0</v>
      </c>
      <c r="AD29" s="145">
        <v>0</v>
      </c>
      <c r="AE29" s="145">
        <v>0</v>
      </c>
      <c r="AF29" s="145">
        <v>0</v>
      </c>
      <c r="AG29" s="145">
        <v>0</v>
      </c>
      <c r="AH29" s="145">
        <v>0</v>
      </c>
      <c r="AI29" s="145">
        <v>0</v>
      </c>
      <c r="AJ29" s="145">
        <v>0</v>
      </c>
      <c r="AK29" s="145">
        <v>0</v>
      </c>
      <c r="AL29" s="145">
        <v>0</v>
      </c>
      <c r="AM29" s="145">
        <v>0</v>
      </c>
      <c r="AN29" s="145">
        <v>0</v>
      </c>
      <c r="AO29" s="145">
        <v>0</v>
      </c>
      <c r="AP29" s="145">
        <v>0</v>
      </c>
      <c r="AQ29" s="145">
        <v>0</v>
      </c>
      <c r="AR29" s="145">
        <v>0</v>
      </c>
      <c r="AS29" s="145">
        <v>0</v>
      </c>
      <c r="AT29" s="145">
        <v>0</v>
      </c>
      <c r="AU29" s="145">
        <v>0</v>
      </c>
      <c r="AV29" s="145">
        <v>0</v>
      </c>
      <c r="AW29" s="145">
        <v>0</v>
      </c>
      <c r="AX29" s="145">
        <v>0</v>
      </c>
      <c r="AY29" s="145">
        <v>0</v>
      </c>
      <c r="AZ29" s="145">
        <v>0</v>
      </c>
      <c r="BA29" s="145">
        <v>0</v>
      </c>
      <c r="BB29" s="145">
        <v>0</v>
      </c>
      <c r="BC29" s="145">
        <v>0</v>
      </c>
      <c r="BD29" s="145">
        <v>0</v>
      </c>
      <c r="BE29" s="145">
        <v>0</v>
      </c>
      <c r="BF29" s="145">
        <v>0</v>
      </c>
    </row>
    <row r="30" spans="1:58">
      <c r="A30" s="130"/>
      <c r="B30" s="127"/>
      <c r="C30" s="127"/>
      <c r="D30" s="127"/>
      <c r="E30" s="127"/>
      <c r="F30" s="127"/>
      <c r="G30" s="127"/>
      <c r="H30" s="160"/>
      <c r="I30" s="127"/>
      <c r="J30" s="127"/>
      <c r="K30" s="135"/>
      <c r="L30" s="140" t="str">
        <f>'00_Datos_Mercado'!$B$5</f>
        <v>c_CS - Grandes Superficies</v>
      </c>
      <c r="M30" s="148">
        <f t="shared" si="31"/>
        <v>0</v>
      </c>
      <c r="N30" s="145">
        <v>0</v>
      </c>
      <c r="O30" s="145">
        <v>0</v>
      </c>
      <c r="P30" s="145">
        <v>0</v>
      </c>
      <c r="Q30" s="145">
        <v>0</v>
      </c>
      <c r="R30" s="145">
        <v>0</v>
      </c>
      <c r="S30" s="145">
        <v>0</v>
      </c>
      <c r="T30" s="145">
        <v>0</v>
      </c>
      <c r="U30" s="145">
        <v>0</v>
      </c>
      <c r="V30" s="145">
        <v>0</v>
      </c>
      <c r="W30" s="145">
        <v>0</v>
      </c>
      <c r="X30" s="145">
        <v>0</v>
      </c>
      <c r="Y30" s="145">
        <v>0</v>
      </c>
      <c r="Z30" s="145">
        <v>0</v>
      </c>
      <c r="AA30" s="145">
        <v>0</v>
      </c>
      <c r="AB30" s="145">
        <v>0</v>
      </c>
      <c r="AC30" s="145">
        <v>0</v>
      </c>
      <c r="AD30" s="145">
        <v>0</v>
      </c>
      <c r="AE30" s="145">
        <v>0</v>
      </c>
      <c r="AF30" s="145">
        <v>0</v>
      </c>
      <c r="AG30" s="145">
        <v>0</v>
      </c>
      <c r="AH30" s="145">
        <v>0</v>
      </c>
      <c r="AI30" s="145">
        <v>0</v>
      </c>
      <c r="AJ30" s="145">
        <v>0</v>
      </c>
      <c r="AK30" s="145">
        <v>0</v>
      </c>
      <c r="AL30" s="145">
        <v>0</v>
      </c>
      <c r="AM30" s="145">
        <v>0</v>
      </c>
      <c r="AN30" s="145">
        <v>0</v>
      </c>
      <c r="AO30" s="145">
        <v>0</v>
      </c>
      <c r="AP30" s="145">
        <v>0</v>
      </c>
      <c r="AQ30" s="145">
        <v>0</v>
      </c>
      <c r="AR30" s="145">
        <v>0</v>
      </c>
      <c r="AS30" s="145">
        <v>0</v>
      </c>
      <c r="AT30" s="145">
        <v>0</v>
      </c>
      <c r="AU30" s="145">
        <v>0</v>
      </c>
      <c r="AV30" s="145">
        <v>0</v>
      </c>
      <c r="AW30" s="145">
        <v>0</v>
      </c>
      <c r="AX30" s="145">
        <v>0</v>
      </c>
      <c r="AY30" s="145">
        <v>0</v>
      </c>
      <c r="AZ30" s="145">
        <v>0</v>
      </c>
      <c r="BA30" s="145">
        <v>0</v>
      </c>
      <c r="BB30" s="145">
        <v>0</v>
      </c>
      <c r="BC30" s="145">
        <v>0</v>
      </c>
      <c r="BD30" s="145">
        <v>0</v>
      </c>
      <c r="BE30" s="145">
        <v>0</v>
      </c>
      <c r="BF30" s="145">
        <v>0</v>
      </c>
    </row>
    <row r="31" spans="1:58">
      <c r="A31" s="130"/>
      <c r="B31" s="127"/>
      <c r="C31" s="127"/>
      <c r="D31" s="127"/>
      <c r="E31" s="127"/>
      <c r="F31" s="127"/>
      <c r="G31" s="127"/>
      <c r="H31" s="160"/>
      <c r="I31" s="127"/>
      <c r="J31" s="127"/>
      <c r="K31" s="135"/>
      <c r="L31" s="141" t="str">
        <f>'00_Datos_Mercado'!$B$6</f>
        <v>d_CS - Torre Empresarial (Oficinas + Hospedaje)</v>
      </c>
      <c r="M31" s="148">
        <f t="shared" si="31"/>
        <v>0</v>
      </c>
      <c r="N31" s="145">
        <v>0</v>
      </c>
      <c r="O31" s="145">
        <v>0</v>
      </c>
      <c r="P31" s="145">
        <v>0</v>
      </c>
      <c r="Q31" s="145">
        <v>0</v>
      </c>
      <c r="R31" s="145">
        <v>0</v>
      </c>
      <c r="S31" s="145">
        <v>0</v>
      </c>
      <c r="T31" s="145">
        <v>0</v>
      </c>
      <c r="U31" s="145">
        <v>0</v>
      </c>
      <c r="V31" s="145">
        <v>0</v>
      </c>
      <c r="W31" s="145">
        <v>0</v>
      </c>
      <c r="X31" s="145">
        <v>0</v>
      </c>
      <c r="Y31" s="145">
        <v>0</v>
      </c>
      <c r="Z31" s="145">
        <v>0</v>
      </c>
      <c r="AA31" s="145">
        <v>0</v>
      </c>
      <c r="AB31" s="145">
        <v>0</v>
      </c>
      <c r="AC31" s="145">
        <v>0</v>
      </c>
      <c r="AD31" s="145">
        <v>0</v>
      </c>
      <c r="AE31" s="145">
        <v>0</v>
      </c>
      <c r="AF31" s="145">
        <v>0</v>
      </c>
      <c r="AG31" s="145">
        <v>0</v>
      </c>
      <c r="AH31" s="145">
        <v>0</v>
      </c>
      <c r="AI31" s="145">
        <v>0</v>
      </c>
      <c r="AJ31" s="145">
        <v>0</v>
      </c>
      <c r="AK31" s="145">
        <v>0</v>
      </c>
      <c r="AL31" s="145">
        <v>0</v>
      </c>
      <c r="AM31" s="145">
        <v>0</v>
      </c>
      <c r="AN31" s="145">
        <v>0</v>
      </c>
      <c r="AO31" s="145">
        <v>0</v>
      </c>
      <c r="AP31" s="145">
        <v>0</v>
      </c>
      <c r="AQ31" s="145">
        <v>0</v>
      </c>
      <c r="AR31" s="145">
        <v>0</v>
      </c>
      <c r="AS31" s="145">
        <v>0</v>
      </c>
      <c r="AT31" s="145">
        <v>0</v>
      </c>
      <c r="AU31" s="145">
        <v>0</v>
      </c>
      <c r="AV31" s="145">
        <v>0</v>
      </c>
      <c r="AW31" s="145">
        <v>0</v>
      </c>
      <c r="AX31" s="145">
        <v>0</v>
      </c>
      <c r="AY31" s="145">
        <v>0</v>
      </c>
      <c r="AZ31" s="145">
        <v>0</v>
      </c>
      <c r="BA31" s="145">
        <v>0</v>
      </c>
      <c r="BB31" s="145">
        <v>0</v>
      </c>
      <c r="BC31" s="145">
        <v>0</v>
      </c>
      <c r="BD31" s="145">
        <v>0</v>
      </c>
      <c r="BE31" s="145">
        <v>0</v>
      </c>
      <c r="BF31" s="145">
        <v>0</v>
      </c>
    </row>
    <row r="32" spans="1:58">
      <c r="A32" s="130"/>
      <c r="B32" s="127"/>
      <c r="C32" s="127"/>
      <c r="D32" s="127"/>
      <c r="E32" s="127"/>
      <c r="F32" s="127"/>
      <c r="G32" s="127"/>
      <c r="H32" s="160"/>
      <c r="I32" s="127"/>
      <c r="J32" s="127"/>
      <c r="K32" s="135"/>
      <c r="L32" s="142" t="str">
        <f>'00_Datos_Mercado'!$B$7</f>
        <v>e_CS - Innovation (H, CS, Gamers)</v>
      </c>
      <c r="M32" s="148">
        <f t="shared" si="31"/>
        <v>0</v>
      </c>
      <c r="N32" s="145">
        <v>0</v>
      </c>
      <c r="O32" s="145">
        <v>0</v>
      </c>
      <c r="P32" s="145">
        <v>0</v>
      </c>
      <c r="Q32" s="145">
        <v>0</v>
      </c>
      <c r="R32" s="145">
        <v>0</v>
      </c>
      <c r="S32" s="145">
        <v>0</v>
      </c>
      <c r="T32" s="145">
        <v>0</v>
      </c>
      <c r="U32" s="145">
        <v>0</v>
      </c>
      <c r="V32" s="145">
        <v>0</v>
      </c>
      <c r="W32" s="145">
        <v>0</v>
      </c>
      <c r="X32" s="145">
        <v>0</v>
      </c>
      <c r="Y32" s="145">
        <v>0</v>
      </c>
      <c r="Z32" s="145">
        <v>0</v>
      </c>
      <c r="AA32" s="145">
        <v>0</v>
      </c>
      <c r="AB32" s="145">
        <v>0</v>
      </c>
      <c r="AC32" s="145">
        <v>0</v>
      </c>
      <c r="AD32" s="145">
        <v>0</v>
      </c>
      <c r="AE32" s="145">
        <v>0</v>
      </c>
      <c r="AF32" s="145">
        <v>0</v>
      </c>
      <c r="AG32" s="145">
        <v>0</v>
      </c>
      <c r="AH32" s="145">
        <v>0</v>
      </c>
      <c r="AI32" s="145">
        <v>0</v>
      </c>
      <c r="AJ32" s="145">
        <v>0</v>
      </c>
      <c r="AK32" s="145">
        <v>0</v>
      </c>
      <c r="AL32" s="145">
        <v>0</v>
      </c>
      <c r="AM32" s="145">
        <v>0</v>
      </c>
      <c r="AN32" s="145">
        <v>0</v>
      </c>
      <c r="AO32" s="145">
        <v>0</v>
      </c>
      <c r="AP32" s="145">
        <v>0</v>
      </c>
      <c r="AQ32" s="145">
        <v>0</v>
      </c>
      <c r="AR32" s="145">
        <v>0</v>
      </c>
      <c r="AS32" s="145">
        <v>0</v>
      </c>
      <c r="AT32" s="145">
        <v>0</v>
      </c>
      <c r="AU32" s="145">
        <v>0</v>
      </c>
      <c r="AV32" s="145">
        <v>0</v>
      </c>
      <c r="AW32" s="145">
        <v>0</v>
      </c>
      <c r="AX32" s="145">
        <v>0</v>
      </c>
      <c r="AY32" s="145">
        <v>0</v>
      </c>
      <c r="AZ32" s="145">
        <v>0</v>
      </c>
      <c r="BA32" s="145">
        <v>0</v>
      </c>
      <c r="BB32" s="145">
        <v>0</v>
      </c>
      <c r="BC32" s="145">
        <v>0</v>
      </c>
      <c r="BD32" s="145">
        <v>0</v>
      </c>
      <c r="BE32" s="145">
        <v>0</v>
      </c>
      <c r="BF32" s="145">
        <v>0</v>
      </c>
    </row>
    <row r="33" spans="1:58">
      <c r="A33" s="130"/>
      <c r="B33" s="127"/>
      <c r="C33" s="127"/>
      <c r="D33" s="127"/>
      <c r="E33" s="127"/>
      <c r="F33" s="127"/>
      <c r="G33" s="127"/>
      <c r="H33" s="160"/>
      <c r="I33" s="127"/>
      <c r="J33" s="127"/>
      <c r="K33" s="135"/>
      <c r="L33" s="144" t="str">
        <f>'00_Datos_Mercado'!$B$8</f>
        <v xml:space="preserve">f_RES - VIS Ru </v>
      </c>
      <c r="M33" s="148">
        <f t="shared" si="31"/>
        <v>20315.12</v>
      </c>
      <c r="N33" s="145">
        <v>0</v>
      </c>
      <c r="O33" s="145">
        <v>0</v>
      </c>
      <c r="P33" s="145">
        <v>0</v>
      </c>
      <c r="Q33" s="145">
        <v>0</v>
      </c>
      <c r="R33" s="145">
        <v>0</v>
      </c>
      <c r="S33" s="145">
        <v>5078.78</v>
      </c>
      <c r="T33" s="145">
        <v>5078.78</v>
      </c>
      <c r="U33" s="145">
        <v>5078.78</v>
      </c>
      <c r="V33" s="145">
        <v>5078.78</v>
      </c>
      <c r="W33" s="145">
        <v>0</v>
      </c>
      <c r="X33" s="145">
        <v>0</v>
      </c>
      <c r="Y33" s="145">
        <v>0</v>
      </c>
      <c r="Z33" s="145">
        <v>0</v>
      </c>
      <c r="AA33" s="145">
        <v>0</v>
      </c>
      <c r="AB33" s="145">
        <v>0</v>
      </c>
      <c r="AC33" s="145">
        <v>0</v>
      </c>
      <c r="AD33" s="145">
        <v>0</v>
      </c>
      <c r="AE33" s="145">
        <v>0</v>
      </c>
      <c r="AF33" s="145">
        <v>0</v>
      </c>
      <c r="AG33" s="145">
        <v>0</v>
      </c>
      <c r="AH33" s="145">
        <v>0</v>
      </c>
      <c r="AI33" s="145">
        <v>0</v>
      </c>
      <c r="AJ33" s="145">
        <v>0</v>
      </c>
      <c r="AK33" s="145">
        <v>0</v>
      </c>
      <c r="AL33" s="145">
        <v>0</v>
      </c>
      <c r="AM33" s="145">
        <v>0</v>
      </c>
      <c r="AN33" s="145">
        <v>0</v>
      </c>
      <c r="AO33" s="145">
        <v>0</v>
      </c>
      <c r="AP33" s="145">
        <v>0</v>
      </c>
      <c r="AQ33" s="145">
        <v>0</v>
      </c>
      <c r="AR33" s="145">
        <v>0</v>
      </c>
      <c r="AS33" s="145">
        <v>0</v>
      </c>
      <c r="AT33" s="145">
        <v>0</v>
      </c>
      <c r="AU33" s="145">
        <v>0</v>
      </c>
      <c r="AV33" s="145">
        <v>0</v>
      </c>
      <c r="AW33" s="145">
        <v>0</v>
      </c>
      <c r="AX33" s="145">
        <v>0</v>
      </c>
      <c r="AY33" s="145">
        <v>0</v>
      </c>
      <c r="AZ33" s="145">
        <v>0</v>
      </c>
      <c r="BA33" s="145">
        <v>0</v>
      </c>
      <c r="BB33" s="145">
        <v>0</v>
      </c>
      <c r="BC33" s="145">
        <v>0</v>
      </c>
      <c r="BD33" s="145">
        <v>0</v>
      </c>
      <c r="BE33" s="145">
        <v>0</v>
      </c>
      <c r="BF33" s="145">
        <v>0</v>
      </c>
    </row>
    <row r="34" spans="1:58">
      <c r="A34" s="130"/>
      <c r="B34" s="127"/>
      <c r="C34" s="127"/>
      <c r="D34" s="127"/>
      <c r="E34" s="127"/>
      <c r="F34" s="127"/>
      <c r="G34" s="127"/>
      <c r="H34" s="160"/>
      <c r="I34" s="127"/>
      <c r="J34" s="127"/>
      <c r="K34" s="135"/>
      <c r="L34" s="143" t="str">
        <f>'00_Datos_Mercado'!$B$10</f>
        <v>i_RES - No VIS</v>
      </c>
      <c r="M34" s="148">
        <f t="shared" si="31"/>
        <v>137127.06</v>
      </c>
      <c r="N34" s="145">
        <v>0</v>
      </c>
      <c r="O34" s="145">
        <v>0</v>
      </c>
      <c r="P34" s="145">
        <v>0</v>
      </c>
      <c r="Q34" s="145">
        <v>0</v>
      </c>
      <c r="R34" s="145">
        <v>0</v>
      </c>
      <c r="S34" s="145">
        <v>0</v>
      </c>
      <c r="T34" s="145">
        <v>0</v>
      </c>
      <c r="U34" s="145">
        <v>0</v>
      </c>
      <c r="V34" s="145">
        <v>0</v>
      </c>
      <c r="W34" s="145">
        <v>5078.78</v>
      </c>
      <c r="X34" s="145">
        <v>5078.78</v>
      </c>
      <c r="Y34" s="145">
        <v>5078.78</v>
      </c>
      <c r="Z34" s="145">
        <v>5078.78</v>
      </c>
      <c r="AA34" s="145">
        <v>5078.78</v>
      </c>
      <c r="AB34" s="145">
        <v>5078.78</v>
      </c>
      <c r="AC34" s="145">
        <v>5078.78</v>
      </c>
      <c r="AD34" s="145">
        <v>5078.78</v>
      </c>
      <c r="AE34" s="145">
        <v>5078.78</v>
      </c>
      <c r="AF34" s="145">
        <v>5078.78</v>
      </c>
      <c r="AG34" s="145">
        <v>5078.78</v>
      </c>
      <c r="AH34" s="145">
        <v>5078.78</v>
      </c>
      <c r="AI34" s="145">
        <v>5078.78</v>
      </c>
      <c r="AJ34" s="145">
        <v>5078.78</v>
      </c>
      <c r="AK34" s="145">
        <v>5078.78</v>
      </c>
      <c r="AL34" s="145">
        <v>5078.78</v>
      </c>
      <c r="AM34" s="145">
        <v>5078.78</v>
      </c>
      <c r="AN34" s="145">
        <v>5078.78</v>
      </c>
      <c r="AO34" s="145">
        <v>5078.78</v>
      </c>
      <c r="AP34" s="145">
        <v>5078.78</v>
      </c>
      <c r="AQ34" s="145">
        <v>5078.78</v>
      </c>
      <c r="AR34" s="145">
        <v>5078.78</v>
      </c>
      <c r="AS34" s="145">
        <v>5078.78</v>
      </c>
      <c r="AT34" s="145">
        <v>5078.78</v>
      </c>
      <c r="AU34" s="145">
        <v>5078.78</v>
      </c>
      <c r="AV34" s="145">
        <v>5078.78</v>
      </c>
      <c r="AW34" s="145">
        <v>5078.78</v>
      </c>
      <c r="AX34" s="145">
        <v>0</v>
      </c>
      <c r="AY34" s="145">
        <v>0</v>
      </c>
      <c r="AZ34" s="145">
        <v>0</v>
      </c>
      <c r="BA34" s="145">
        <v>0</v>
      </c>
      <c r="BB34" s="145">
        <v>0</v>
      </c>
      <c r="BC34" s="145">
        <v>0</v>
      </c>
      <c r="BD34" s="145">
        <v>0</v>
      </c>
      <c r="BE34" s="145">
        <v>0</v>
      </c>
      <c r="BF34" s="145">
        <v>0</v>
      </c>
    </row>
    <row r="35" spans="1:58">
      <c r="A35" s="130"/>
      <c r="B35" s="127"/>
      <c r="C35" s="127"/>
      <c r="D35" s="127"/>
      <c r="E35" s="127"/>
      <c r="F35" s="127"/>
      <c r="G35" s="127"/>
      <c r="H35" s="160"/>
      <c r="I35" s="127"/>
      <c r="J35" s="127"/>
      <c r="K35" s="135"/>
      <c r="L35" s="264" t="s">
        <v>697</v>
      </c>
      <c r="M35" s="264">
        <f t="shared" si="31"/>
        <v>10157.56</v>
      </c>
      <c r="N35" s="265">
        <v>0</v>
      </c>
      <c r="O35" s="265">
        <v>0</v>
      </c>
      <c r="P35" s="265">
        <v>0</v>
      </c>
      <c r="Q35" s="265">
        <v>0</v>
      </c>
      <c r="R35" s="267">
        <v>5078.78</v>
      </c>
      <c r="S35" s="265">
        <v>0</v>
      </c>
      <c r="T35" s="265">
        <v>0</v>
      </c>
      <c r="U35" s="265">
        <v>0</v>
      </c>
      <c r="V35" s="265">
        <v>0</v>
      </c>
      <c r="W35" s="265">
        <v>0</v>
      </c>
      <c r="X35" s="265">
        <v>0</v>
      </c>
      <c r="Y35" s="265">
        <v>0</v>
      </c>
      <c r="Z35" s="265">
        <v>0</v>
      </c>
      <c r="AA35" s="265">
        <v>0</v>
      </c>
      <c r="AB35" s="265">
        <v>0</v>
      </c>
      <c r="AC35" s="265">
        <v>0</v>
      </c>
      <c r="AD35" s="265">
        <v>0</v>
      </c>
      <c r="AE35" s="265">
        <v>0</v>
      </c>
      <c r="AF35" s="265">
        <v>0</v>
      </c>
      <c r="AG35" s="265">
        <v>0</v>
      </c>
      <c r="AH35" s="265">
        <v>0</v>
      </c>
      <c r="AI35" s="265">
        <v>0</v>
      </c>
      <c r="AJ35" s="265">
        <v>0</v>
      </c>
      <c r="AK35" s="265">
        <v>0</v>
      </c>
      <c r="AL35" s="265">
        <v>0</v>
      </c>
      <c r="AM35" s="265">
        <v>0</v>
      </c>
      <c r="AN35" s="265">
        <v>0</v>
      </c>
      <c r="AO35" s="265">
        <v>0</v>
      </c>
      <c r="AP35" s="265">
        <v>0</v>
      </c>
      <c r="AQ35" s="265">
        <v>0</v>
      </c>
      <c r="AR35" s="265">
        <v>0</v>
      </c>
      <c r="AS35" s="265">
        <v>0</v>
      </c>
      <c r="AT35" s="265">
        <v>0</v>
      </c>
      <c r="AU35" s="265">
        <v>0</v>
      </c>
      <c r="AV35" s="265">
        <v>0</v>
      </c>
      <c r="AW35" s="265">
        <v>0</v>
      </c>
      <c r="AX35" s="267">
        <v>5078.78</v>
      </c>
      <c r="AY35" s="265">
        <v>0</v>
      </c>
      <c r="AZ35" s="265">
        <v>0</v>
      </c>
      <c r="BA35" s="265">
        <v>0</v>
      </c>
      <c r="BB35" s="265">
        <v>0</v>
      </c>
      <c r="BC35" s="265">
        <v>0</v>
      </c>
      <c r="BD35" s="265">
        <v>0</v>
      </c>
      <c r="BE35" s="265">
        <v>0</v>
      </c>
      <c r="BF35" s="265">
        <v>0</v>
      </c>
    </row>
    <row r="36" spans="1:58" s="134" customFormat="1">
      <c r="A36" s="130">
        <v>4</v>
      </c>
      <c r="B36" s="131">
        <f>SUMIF('04a_PROPUESTA_MO'!$R$9:$R$42,'07a_ATC'!A36,'04a_PROPUESTA_MO'!$T$9:$T$42)</f>
        <v>25621.213912839001</v>
      </c>
      <c r="C36" s="131">
        <f>SUMIF('04a_PROPUESTA_MO'!$R$9:$R$42,'07a_ATC'!A36,'04a_PROPUESTA_MO'!$AH$9:$AH$42)</f>
        <v>6313.2384713358988</v>
      </c>
      <c r="D36" s="131">
        <f>SUMIF('04a_PROPUESTA_MO'!$R$9:$R$42,'07a_ATC'!A36,'04a_PROPUESTA_MO'!$AI$9:$AI$42)</f>
        <v>8869.4347907373231</v>
      </c>
      <c r="E36" s="131">
        <f>SUMIF('04a_PROPUESTA_MO'!$R$9:$R$42,'07a_ATC'!A36,'04a_PROPUESTA_MO'!$AJ$9:$AJ$42)</f>
        <v>0</v>
      </c>
      <c r="F36" s="131">
        <f t="shared" si="10"/>
        <v>15182.673262073222</v>
      </c>
      <c r="G36" s="131">
        <f t="shared" si="11"/>
        <v>10438.540650765779</v>
      </c>
      <c r="H36" s="159">
        <f>G36/$G$7</f>
        <v>0.18099889009031855</v>
      </c>
      <c r="I36" s="131">
        <f t="shared" si="12"/>
        <v>2305.0707388953133</v>
      </c>
      <c r="J36" s="131">
        <f>SUMIF('04a_PROPUESTA_MO'!$R$9:$R$42,'07a_ATC'!A36,'04a_PROPUESTA_MO'!$AN$9:$AN$42)</f>
        <v>8133.4699118704657</v>
      </c>
      <c r="K36" s="132">
        <f t="shared" si="13"/>
        <v>0.18507012201574305</v>
      </c>
      <c r="L36" s="131"/>
      <c r="M36" s="151">
        <f>SUM(M37:M43)</f>
        <v>267720.79999999993</v>
      </c>
      <c r="N36" s="151">
        <f t="shared" ref="N36:AR36" si="32">SUM(N37:N43)</f>
        <v>7946.4400000000005</v>
      </c>
      <c r="O36" s="151">
        <f t="shared" si="32"/>
        <v>8498.630000000001</v>
      </c>
      <c r="P36" s="151">
        <f t="shared" si="32"/>
        <v>8498.6299999999992</v>
      </c>
      <c r="Q36" s="151">
        <f t="shared" si="32"/>
        <v>8498.6299999999992</v>
      </c>
      <c r="R36" s="151">
        <f t="shared" si="32"/>
        <v>0</v>
      </c>
      <c r="S36" s="151">
        <f t="shared" si="32"/>
        <v>7557.37</v>
      </c>
      <c r="T36" s="151">
        <f t="shared" si="32"/>
        <v>7557.37</v>
      </c>
      <c r="U36" s="151">
        <f t="shared" si="32"/>
        <v>7557.37</v>
      </c>
      <c r="V36" s="151">
        <f t="shared" si="32"/>
        <v>7557.37</v>
      </c>
      <c r="W36" s="151">
        <f t="shared" si="32"/>
        <v>7557.37</v>
      </c>
      <c r="X36" s="151">
        <f t="shared" si="32"/>
        <v>7557.37</v>
      </c>
      <c r="Y36" s="151">
        <f t="shared" si="32"/>
        <v>7557.37</v>
      </c>
      <c r="Z36" s="151">
        <f t="shared" si="32"/>
        <v>7557.37</v>
      </c>
      <c r="AA36" s="151">
        <f t="shared" si="32"/>
        <v>7557.37</v>
      </c>
      <c r="AB36" s="151">
        <f t="shared" si="32"/>
        <v>7557.37</v>
      </c>
      <c r="AC36" s="151">
        <f t="shared" si="32"/>
        <v>7557.37</v>
      </c>
      <c r="AD36" s="151">
        <f t="shared" si="32"/>
        <v>7557.37</v>
      </c>
      <c r="AE36" s="151">
        <f t="shared" si="32"/>
        <v>7557.37</v>
      </c>
      <c r="AF36" s="151">
        <f t="shared" si="32"/>
        <v>7557.37</v>
      </c>
      <c r="AG36" s="151">
        <f t="shared" si="32"/>
        <v>7557.37</v>
      </c>
      <c r="AH36" s="151">
        <f t="shared" si="32"/>
        <v>7557.37</v>
      </c>
      <c r="AI36" s="151">
        <f t="shared" si="32"/>
        <v>7557.37</v>
      </c>
      <c r="AJ36" s="151">
        <f t="shared" si="32"/>
        <v>7557.37</v>
      </c>
      <c r="AK36" s="151">
        <f t="shared" si="32"/>
        <v>7557.37</v>
      </c>
      <c r="AL36" s="151">
        <f t="shared" si="32"/>
        <v>7557.37</v>
      </c>
      <c r="AM36" s="151">
        <f t="shared" si="32"/>
        <v>7557.37</v>
      </c>
      <c r="AN36" s="151">
        <f t="shared" si="32"/>
        <v>7557.37</v>
      </c>
      <c r="AO36" s="151">
        <f t="shared" si="32"/>
        <v>7557.37</v>
      </c>
      <c r="AP36" s="151">
        <f t="shared" si="32"/>
        <v>7557.37</v>
      </c>
      <c r="AQ36" s="151">
        <f t="shared" si="32"/>
        <v>7557.37</v>
      </c>
      <c r="AR36" s="151">
        <f t="shared" si="32"/>
        <v>7557.37</v>
      </c>
      <c r="AS36" s="151">
        <f t="shared" ref="AS36" si="33">SUM(AS37:AS43)</f>
        <v>7557.37</v>
      </c>
      <c r="AT36" s="151">
        <f t="shared" ref="AT36" si="34">SUM(AT37:AT43)</f>
        <v>7557.37</v>
      </c>
      <c r="AU36" s="151">
        <f t="shared" ref="AU36" si="35">SUM(AU37:AU43)</f>
        <v>7557.37</v>
      </c>
      <c r="AV36" s="151">
        <f t="shared" ref="AV36" si="36">SUM(AV37:AV43)</f>
        <v>7557.37</v>
      </c>
      <c r="AW36" s="151">
        <f t="shared" ref="AW36" si="37">SUM(AW37:AW43)</f>
        <v>7557.37</v>
      </c>
      <c r="AX36" s="151">
        <f t="shared" ref="AX36" si="38">SUM(AX37:AX43)</f>
        <v>0</v>
      </c>
      <c r="AY36" s="151">
        <f t="shared" ref="AY36:BF36" si="39">SUM(AY37:AY43)</f>
        <v>0</v>
      </c>
      <c r="AZ36" s="151">
        <f t="shared" si="39"/>
        <v>0</v>
      </c>
      <c r="BA36" s="151">
        <f t="shared" si="39"/>
        <v>0</v>
      </c>
      <c r="BB36" s="151">
        <f t="shared" si="39"/>
        <v>0</v>
      </c>
      <c r="BC36" s="151">
        <f t="shared" si="39"/>
        <v>0</v>
      </c>
      <c r="BD36" s="151">
        <f t="shared" si="39"/>
        <v>0</v>
      </c>
      <c r="BE36" s="151">
        <f t="shared" si="39"/>
        <v>0</v>
      </c>
      <c r="BF36" s="151">
        <f t="shared" si="39"/>
        <v>0</v>
      </c>
    </row>
    <row r="37" spans="1:58">
      <c r="A37" s="130"/>
      <c r="B37" s="127"/>
      <c r="C37" s="127"/>
      <c r="D37" s="127"/>
      <c r="E37" s="127"/>
      <c r="F37" s="127"/>
      <c r="G37" s="127"/>
      <c r="H37" s="160"/>
      <c r="I37" s="127"/>
      <c r="J37" s="127"/>
      <c r="K37" s="135"/>
      <c r="L37" s="138" t="str">
        <f>'00_Datos_Mercado'!$B$3</f>
        <v xml:space="preserve">a_CS - Creativos </v>
      </c>
      <c r="M37" s="148">
        <f t="shared" ref="M37:M44" si="40">SUM(N37:BF37)</f>
        <v>5508.48</v>
      </c>
      <c r="N37" s="129">
        <f>2633.53</f>
        <v>2633.53</v>
      </c>
      <c r="O37" s="145">
        <v>2874.95</v>
      </c>
      <c r="P37" s="145">
        <v>0</v>
      </c>
      <c r="Q37" s="145">
        <v>0</v>
      </c>
      <c r="R37" s="145">
        <v>0</v>
      </c>
      <c r="S37" s="145">
        <v>0</v>
      </c>
      <c r="T37" s="145">
        <v>0</v>
      </c>
      <c r="U37" s="145">
        <v>0</v>
      </c>
      <c r="V37" s="145">
        <v>0</v>
      </c>
      <c r="W37" s="145">
        <v>0</v>
      </c>
      <c r="X37" s="145">
        <v>0</v>
      </c>
      <c r="Y37" s="145">
        <v>0</v>
      </c>
      <c r="Z37" s="145">
        <v>0</v>
      </c>
      <c r="AA37" s="145">
        <v>0</v>
      </c>
      <c r="AB37" s="145">
        <v>0</v>
      </c>
      <c r="AC37" s="145">
        <v>0</v>
      </c>
      <c r="AD37" s="145">
        <v>0</v>
      </c>
      <c r="AE37" s="145">
        <v>0</v>
      </c>
      <c r="AF37" s="145">
        <v>0</v>
      </c>
      <c r="AG37" s="145">
        <v>0</v>
      </c>
      <c r="AH37" s="145">
        <v>0</v>
      </c>
      <c r="AI37" s="145">
        <v>0</v>
      </c>
      <c r="AJ37" s="145">
        <v>0</v>
      </c>
      <c r="AK37" s="145">
        <v>0</v>
      </c>
      <c r="AL37" s="145">
        <v>0</v>
      </c>
      <c r="AM37" s="145">
        <v>0</v>
      </c>
      <c r="AN37" s="145">
        <v>0</v>
      </c>
      <c r="AO37" s="145">
        <v>0</v>
      </c>
      <c r="AP37" s="145">
        <v>0</v>
      </c>
      <c r="AQ37" s="145">
        <v>0</v>
      </c>
      <c r="AR37" s="145">
        <v>0</v>
      </c>
      <c r="AS37" s="145">
        <v>0</v>
      </c>
      <c r="AT37" s="145">
        <v>0</v>
      </c>
      <c r="AU37" s="145">
        <v>0</v>
      </c>
      <c r="AV37" s="145">
        <v>0</v>
      </c>
      <c r="AW37" s="145">
        <v>0</v>
      </c>
      <c r="AX37" s="145">
        <v>0</v>
      </c>
      <c r="AY37" s="145">
        <v>0</v>
      </c>
      <c r="AZ37" s="145">
        <v>0</v>
      </c>
      <c r="BA37" s="145">
        <v>0</v>
      </c>
      <c r="BB37" s="145">
        <v>0</v>
      </c>
      <c r="BC37" s="145">
        <v>0</v>
      </c>
      <c r="BD37" s="145">
        <v>0</v>
      </c>
      <c r="BE37" s="145">
        <v>0</v>
      </c>
      <c r="BF37" s="145">
        <v>0</v>
      </c>
    </row>
    <row r="38" spans="1:58">
      <c r="A38" s="130"/>
      <c r="B38" s="127"/>
      <c r="C38" s="127"/>
      <c r="D38" s="127"/>
      <c r="E38" s="127"/>
      <c r="F38" s="127"/>
      <c r="G38" s="127"/>
      <c r="H38" s="160"/>
      <c r="I38" s="127"/>
      <c r="J38" s="127"/>
      <c r="K38" s="135"/>
      <c r="L38" s="139" t="str">
        <f>'00_Datos_Mercado'!$B$4</f>
        <v>b_CS - General (Comercio + Oficinas + Hospedaje)</v>
      </c>
      <c r="M38" s="148">
        <f t="shared" si="40"/>
        <v>22620.94</v>
      </c>
      <c r="N38" s="145">
        <v>0</v>
      </c>
      <c r="O38" s="145">
        <v>5623.68</v>
      </c>
      <c r="P38" s="145">
        <v>8498.6299999999992</v>
      </c>
      <c r="Q38" s="145">
        <v>8498.6299999999992</v>
      </c>
      <c r="R38" s="145">
        <v>0</v>
      </c>
      <c r="S38" s="145">
        <v>0</v>
      </c>
      <c r="T38" s="145">
        <v>0</v>
      </c>
      <c r="U38" s="145">
        <v>0</v>
      </c>
      <c r="V38" s="145">
        <v>0</v>
      </c>
      <c r="W38" s="145">
        <v>0</v>
      </c>
      <c r="X38" s="145">
        <v>0</v>
      </c>
      <c r="Y38" s="145">
        <v>0</v>
      </c>
      <c r="Z38" s="145">
        <v>0</v>
      </c>
      <c r="AA38" s="145">
        <v>0</v>
      </c>
      <c r="AB38" s="145">
        <v>0</v>
      </c>
      <c r="AC38" s="145">
        <v>0</v>
      </c>
      <c r="AD38" s="145">
        <v>0</v>
      </c>
      <c r="AE38" s="145">
        <v>0</v>
      </c>
      <c r="AF38" s="145">
        <v>0</v>
      </c>
      <c r="AG38" s="145">
        <v>0</v>
      </c>
      <c r="AH38" s="145">
        <v>0</v>
      </c>
      <c r="AI38" s="145">
        <v>0</v>
      </c>
      <c r="AJ38" s="145">
        <v>0</v>
      </c>
      <c r="AK38" s="145">
        <v>0</v>
      </c>
      <c r="AL38" s="145">
        <v>0</v>
      </c>
      <c r="AM38" s="145">
        <v>0</v>
      </c>
      <c r="AN38" s="145">
        <v>0</v>
      </c>
      <c r="AO38" s="145">
        <v>0</v>
      </c>
      <c r="AP38" s="145">
        <v>0</v>
      </c>
      <c r="AQ38" s="145">
        <v>0</v>
      </c>
      <c r="AR38" s="145">
        <v>0</v>
      </c>
      <c r="AS38" s="145">
        <v>0</v>
      </c>
      <c r="AT38" s="145">
        <v>0</v>
      </c>
      <c r="AU38" s="145">
        <v>0</v>
      </c>
      <c r="AV38" s="145">
        <v>0</v>
      </c>
      <c r="AW38" s="145">
        <v>0</v>
      </c>
      <c r="AX38" s="145">
        <v>0</v>
      </c>
      <c r="AY38" s="145">
        <v>0</v>
      </c>
      <c r="AZ38" s="145">
        <v>0</v>
      </c>
      <c r="BA38" s="145">
        <v>0</v>
      </c>
      <c r="BB38" s="145">
        <v>0</v>
      </c>
      <c r="BC38" s="145">
        <v>0</v>
      </c>
      <c r="BD38" s="145">
        <v>0</v>
      </c>
      <c r="BE38" s="145">
        <v>0</v>
      </c>
      <c r="BF38" s="145">
        <v>0</v>
      </c>
    </row>
    <row r="39" spans="1:58">
      <c r="A39" s="130"/>
      <c r="B39" s="127"/>
      <c r="C39" s="127"/>
      <c r="D39" s="127"/>
      <c r="E39" s="127"/>
      <c r="F39" s="127"/>
      <c r="G39" s="127"/>
      <c r="H39" s="160"/>
      <c r="I39" s="127"/>
      <c r="J39" s="127"/>
      <c r="K39" s="135"/>
      <c r="L39" s="140" t="str">
        <f>'00_Datos_Mercado'!$B$5</f>
        <v>c_CS - Grandes Superficies</v>
      </c>
      <c r="M39" s="148">
        <f t="shared" si="40"/>
        <v>5312.91</v>
      </c>
      <c r="N39" s="145">
        <v>5312.91</v>
      </c>
      <c r="O39" s="145">
        <v>0</v>
      </c>
      <c r="P39" s="145">
        <v>0</v>
      </c>
      <c r="Q39" s="145">
        <v>0</v>
      </c>
      <c r="R39" s="145">
        <v>0</v>
      </c>
      <c r="S39" s="145">
        <v>0</v>
      </c>
      <c r="T39" s="145">
        <v>0</v>
      </c>
      <c r="U39" s="145">
        <v>0</v>
      </c>
      <c r="V39" s="145">
        <v>0</v>
      </c>
      <c r="W39" s="145">
        <v>0</v>
      </c>
      <c r="X39" s="145">
        <v>0</v>
      </c>
      <c r="Y39" s="145">
        <v>0</v>
      </c>
      <c r="Z39" s="145">
        <v>0</v>
      </c>
      <c r="AA39" s="145">
        <v>0</v>
      </c>
      <c r="AB39" s="145">
        <v>0</v>
      </c>
      <c r="AC39" s="145">
        <v>0</v>
      </c>
      <c r="AD39" s="145">
        <v>0</v>
      </c>
      <c r="AE39" s="145">
        <v>0</v>
      </c>
      <c r="AF39" s="145">
        <v>0</v>
      </c>
      <c r="AG39" s="145">
        <v>0</v>
      </c>
      <c r="AH39" s="145">
        <v>0</v>
      </c>
      <c r="AI39" s="145">
        <v>0</v>
      </c>
      <c r="AJ39" s="145">
        <v>0</v>
      </c>
      <c r="AK39" s="145">
        <v>0</v>
      </c>
      <c r="AL39" s="145">
        <v>0</v>
      </c>
      <c r="AM39" s="145">
        <v>0</v>
      </c>
      <c r="AN39" s="145">
        <v>0</v>
      </c>
      <c r="AO39" s="145">
        <v>0</v>
      </c>
      <c r="AP39" s="145">
        <v>0</v>
      </c>
      <c r="AQ39" s="145">
        <v>0</v>
      </c>
      <c r="AR39" s="145">
        <v>0</v>
      </c>
      <c r="AS39" s="145">
        <v>0</v>
      </c>
      <c r="AT39" s="145">
        <v>0</v>
      </c>
      <c r="AU39" s="145">
        <v>0</v>
      </c>
      <c r="AV39" s="145">
        <v>0</v>
      </c>
      <c r="AW39" s="145">
        <v>0</v>
      </c>
      <c r="AX39" s="145">
        <v>0</v>
      </c>
      <c r="AY39" s="145">
        <v>0</v>
      </c>
      <c r="AZ39" s="145">
        <v>0</v>
      </c>
      <c r="BA39" s="145">
        <v>0</v>
      </c>
      <c r="BB39" s="145">
        <v>0</v>
      </c>
      <c r="BC39" s="145">
        <v>0</v>
      </c>
      <c r="BD39" s="145">
        <v>0</v>
      </c>
      <c r="BE39" s="145">
        <v>0</v>
      </c>
      <c r="BF39" s="145">
        <v>0</v>
      </c>
    </row>
    <row r="40" spans="1:58">
      <c r="A40" s="130"/>
      <c r="B40" s="127"/>
      <c r="C40" s="127"/>
      <c r="D40" s="127"/>
      <c r="E40" s="127"/>
      <c r="F40" s="127"/>
      <c r="G40" s="127"/>
      <c r="H40" s="160"/>
      <c r="I40" s="127"/>
      <c r="J40" s="127"/>
      <c r="K40" s="135"/>
      <c r="L40" s="141" t="str">
        <f>'00_Datos_Mercado'!$B$6</f>
        <v>d_CS - Torre Empresarial (Oficinas + Hospedaje)</v>
      </c>
      <c r="M40" s="148">
        <f t="shared" si="40"/>
        <v>0</v>
      </c>
      <c r="N40" s="145">
        <v>0</v>
      </c>
      <c r="O40" s="145">
        <v>0</v>
      </c>
      <c r="P40" s="145">
        <v>0</v>
      </c>
      <c r="Q40" s="145">
        <v>0</v>
      </c>
      <c r="R40" s="145">
        <v>0</v>
      </c>
      <c r="S40" s="145">
        <v>0</v>
      </c>
      <c r="T40" s="145">
        <v>0</v>
      </c>
      <c r="U40" s="145">
        <v>0</v>
      </c>
      <c r="V40" s="145">
        <v>0</v>
      </c>
      <c r="W40" s="145">
        <v>0</v>
      </c>
      <c r="X40" s="145">
        <v>0</v>
      </c>
      <c r="Y40" s="145">
        <v>0</v>
      </c>
      <c r="Z40" s="145">
        <v>0</v>
      </c>
      <c r="AA40" s="145">
        <v>0</v>
      </c>
      <c r="AB40" s="145">
        <v>0</v>
      </c>
      <c r="AC40" s="145">
        <v>0</v>
      </c>
      <c r="AD40" s="145">
        <v>0</v>
      </c>
      <c r="AE40" s="145">
        <v>0</v>
      </c>
      <c r="AF40" s="145">
        <v>0</v>
      </c>
      <c r="AG40" s="145">
        <v>0</v>
      </c>
      <c r="AH40" s="145">
        <v>0</v>
      </c>
      <c r="AI40" s="145">
        <v>0</v>
      </c>
      <c r="AJ40" s="145">
        <v>0</v>
      </c>
      <c r="AK40" s="145">
        <v>0</v>
      </c>
      <c r="AL40" s="145">
        <v>0</v>
      </c>
      <c r="AM40" s="145">
        <v>0</v>
      </c>
      <c r="AN40" s="145">
        <v>0</v>
      </c>
      <c r="AO40" s="145">
        <v>0</v>
      </c>
      <c r="AP40" s="145">
        <v>0</v>
      </c>
      <c r="AQ40" s="145">
        <v>0</v>
      </c>
      <c r="AR40" s="145">
        <v>0</v>
      </c>
      <c r="AS40" s="145">
        <v>0</v>
      </c>
      <c r="AT40" s="145">
        <v>0</v>
      </c>
      <c r="AU40" s="145">
        <v>0</v>
      </c>
      <c r="AV40" s="145">
        <v>0</v>
      </c>
      <c r="AW40" s="145">
        <v>0</v>
      </c>
      <c r="AX40" s="145">
        <v>0</v>
      </c>
      <c r="AY40" s="145">
        <v>0</v>
      </c>
      <c r="AZ40" s="145">
        <v>0</v>
      </c>
      <c r="BA40" s="145">
        <v>0</v>
      </c>
      <c r="BB40" s="145">
        <v>0</v>
      </c>
      <c r="BC40" s="145">
        <v>0</v>
      </c>
      <c r="BD40" s="145">
        <v>0</v>
      </c>
      <c r="BE40" s="145">
        <v>0</v>
      </c>
      <c r="BF40" s="145">
        <v>0</v>
      </c>
    </row>
    <row r="41" spans="1:58">
      <c r="A41" s="130"/>
      <c r="B41" s="127"/>
      <c r="C41" s="127"/>
      <c r="D41" s="127"/>
      <c r="E41" s="127"/>
      <c r="F41" s="127"/>
      <c r="G41" s="127"/>
      <c r="H41" s="160"/>
      <c r="I41" s="127"/>
      <c r="J41" s="127"/>
      <c r="K41" s="135"/>
      <c r="L41" s="142" t="str">
        <f>'00_Datos_Mercado'!$B$7</f>
        <v>e_CS - Innovation (H, CS, Gamers)</v>
      </c>
      <c r="M41" s="148">
        <f t="shared" si="40"/>
        <v>0</v>
      </c>
      <c r="N41" s="145">
        <v>0</v>
      </c>
      <c r="O41" s="145">
        <v>0</v>
      </c>
      <c r="P41" s="145">
        <v>0</v>
      </c>
      <c r="Q41" s="145">
        <v>0</v>
      </c>
      <c r="R41" s="145">
        <v>0</v>
      </c>
      <c r="S41" s="145">
        <v>0</v>
      </c>
      <c r="T41" s="145">
        <v>0</v>
      </c>
      <c r="U41" s="145">
        <v>0</v>
      </c>
      <c r="V41" s="145">
        <v>0</v>
      </c>
      <c r="W41" s="145">
        <v>0</v>
      </c>
      <c r="X41" s="145">
        <v>0</v>
      </c>
      <c r="Y41" s="145">
        <v>0</v>
      </c>
      <c r="Z41" s="145">
        <v>0</v>
      </c>
      <c r="AA41" s="145">
        <v>0</v>
      </c>
      <c r="AB41" s="145">
        <v>0</v>
      </c>
      <c r="AC41" s="145">
        <v>0</v>
      </c>
      <c r="AD41" s="145">
        <v>0</v>
      </c>
      <c r="AE41" s="145">
        <v>0</v>
      </c>
      <c r="AF41" s="145">
        <v>0</v>
      </c>
      <c r="AG41" s="145">
        <v>0</v>
      </c>
      <c r="AH41" s="145">
        <v>0</v>
      </c>
      <c r="AI41" s="145">
        <v>0</v>
      </c>
      <c r="AJ41" s="145">
        <v>0</v>
      </c>
      <c r="AK41" s="145">
        <v>0</v>
      </c>
      <c r="AL41" s="145">
        <v>0</v>
      </c>
      <c r="AM41" s="145">
        <v>0</v>
      </c>
      <c r="AN41" s="145">
        <v>0</v>
      </c>
      <c r="AO41" s="145">
        <v>0</v>
      </c>
      <c r="AP41" s="145">
        <v>0</v>
      </c>
      <c r="AQ41" s="145">
        <v>0</v>
      </c>
      <c r="AR41" s="145">
        <v>0</v>
      </c>
      <c r="AS41" s="145">
        <v>0</v>
      </c>
      <c r="AT41" s="145">
        <v>0</v>
      </c>
      <c r="AU41" s="145">
        <v>0</v>
      </c>
      <c r="AV41" s="145">
        <v>0</v>
      </c>
      <c r="AW41" s="145">
        <v>0</v>
      </c>
      <c r="AX41" s="145">
        <v>0</v>
      </c>
      <c r="AY41" s="145">
        <v>0</v>
      </c>
      <c r="AZ41" s="145">
        <v>0</v>
      </c>
      <c r="BA41" s="145">
        <v>0</v>
      </c>
      <c r="BB41" s="145">
        <v>0</v>
      </c>
      <c r="BC41" s="145">
        <v>0</v>
      </c>
      <c r="BD41" s="145">
        <v>0</v>
      </c>
      <c r="BE41" s="145">
        <v>0</v>
      </c>
      <c r="BF41" s="145">
        <v>0</v>
      </c>
    </row>
    <row r="42" spans="1:58">
      <c r="A42" s="130"/>
      <c r="B42" s="127"/>
      <c r="C42" s="127"/>
      <c r="D42" s="127"/>
      <c r="E42" s="127"/>
      <c r="F42" s="127"/>
      <c r="G42" s="127"/>
      <c r="H42" s="160"/>
      <c r="I42" s="127"/>
      <c r="J42" s="127"/>
      <c r="K42" s="135"/>
      <c r="L42" s="144" t="str">
        <f>'00_Datos_Mercado'!$B$8</f>
        <v xml:space="preserve">f_RES - VIS Ru </v>
      </c>
      <c r="M42" s="148">
        <f t="shared" si="40"/>
        <v>30229.48</v>
      </c>
      <c r="N42" s="145">
        <v>0</v>
      </c>
      <c r="O42" s="145">
        <v>0</v>
      </c>
      <c r="P42" s="145">
        <v>0</v>
      </c>
      <c r="Q42" s="145">
        <v>0</v>
      </c>
      <c r="R42" s="145">
        <v>0</v>
      </c>
      <c r="S42" s="145">
        <v>7557.37</v>
      </c>
      <c r="T42" s="145">
        <v>7557.37</v>
      </c>
      <c r="U42" s="145">
        <v>7557.37</v>
      </c>
      <c r="V42" s="145">
        <v>7557.37</v>
      </c>
      <c r="W42" s="145">
        <v>0</v>
      </c>
      <c r="X42" s="145">
        <v>0</v>
      </c>
      <c r="Y42" s="145">
        <v>0</v>
      </c>
      <c r="Z42" s="145">
        <v>0</v>
      </c>
      <c r="AA42" s="145">
        <v>0</v>
      </c>
      <c r="AB42" s="145">
        <v>0</v>
      </c>
      <c r="AC42" s="145">
        <v>0</v>
      </c>
      <c r="AD42" s="145">
        <v>0</v>
      </c>
      <c r="AE42" s="145">
        <v>0</v>
      </c>
      <c r="AF42" s="145">
        <v>0</v>
      </c>
      <c r="AG42" s="145">
        <v>0</v>
      </c>
      <c r="AH42" s="145">
        <v>0</v>
      </c>
      <c r="AI42" s="145">
        <v>0</v>
      </c>
      <c r="AJ42" s="145">
        <v>0</v>
      </c>
      <c r="AK42" s="145">
        <v>0</v>
      </c>
      <c r="AL42" s="145">
        <v>0</v>
      </c>
      <c r="AM42" s="145">
        <v>0</v>
      </c>
      <c r="AN42" s="145">
        <v>0</v>
      </c>
      <c r="AO42" s="145">
        <v>0</v>
      </c>
      <c r="AP42" s="145">
        <v>0</v>
      </c>
      <c r="AQ42" s="145">
        <v>0</v>
      </c>
      <c r="AR42" s="145">
        <v>0</v>
      </c>
      <c r="AS42" s="145">
        <v>0</v>
      </c>
      <c r="AT42" s="145">
        <v>0</v>
      </c>
      <c r="AU42" s="145">
        <v>0</v>
      </c>
      <c r="AV42" s="145">
        <v>0</v>
      </c>
      <c r="AW42" s="145">
        <v>0</v>
      </c>
      <c r="AX42" s="145">
        <v>0</v>
      </c>
      <c r="AY42" s="145">
        <v>0</v>
      </c>
      <c r="AZ42" s="145">
        <v>0</v>
      </c>
      <c r="BA42" s="145">
        <v>0</v>
      </c>
      <c r="BB42" s="145">
        <v>0</v>
      </c>
      <c r="BC42" s="145">
        <v>0</v>
      </c>
      <c r="BD42" s="145">
        <v>0</v>
      </c>
      <c r="BE42" s="145">
        <v>0</v>
      </c>
      <c r="BF42" s="145">
        <v>0</v>
      </c>
    </row>
    <row r="43" spans="1:58">
      <c r="A43" s="130"/>
      <c r="B43" s="127"/>
      <c r="C43" s="127"/>
      <c r="D43" s="127"/>
      <c r="E43" s="127"/>
      <c r="F43" s="127"/>
      <c r="G43" s="127"/>
      <c r="H43" s="160"/>
      <c r="I43" s="127"/>
      <c r="J43" s="127"/>
      <c r="K43" s="135"/>
      <c r="L43" s="143" t="str">
        <f>'00_Datos_Mercado'!$B$10</f>
        <v>i_RES - No VIS</v>
      </c>
      <c r="M43" s="148">
        <f t="shared" si="40"/>
        <v>204048.98999999993</v>
      </c>
      <c r="N43" s="145">
        <v>0</v>
      </c>
      <c r="O43" s="145">
        <v>0</v>
      </c>
      <c r="P43" s="145">
        <v>0</v>
      </c>
      <c r="Q43" s="145">
        <v>0</v>
      </c>
      <c r="R43" s="145">
        <v>0</v>
      </c>
      <c r="S43" s="145">
        <v>0</v>
      </c>
      <c r="T43" s="145">
        <v>0</v>
      </c>
      <c r="U43" s="145">
        <v>0</v>
      </c>
      <c r="V43" s="145">
        <v>0</v>
      </c>
      <c r="W43" s="145">
        <v>7557.37</v>
      </c>
      <c r="X43" s="145">
        <v>7557.37</v>
      </c>
      <c r="Y43" s="145">
        <v>7557.37</v>
      </c>
      <c r="Z43" s="145">
        <v>7557.37</v>
      </c>
      <c r="AA43" s="145">
        <v>7557.37</v>
      </c>
      <c r="AB43" s="145">
        <v>7557.37</v>
      </c>
      <c r="AC43" s="145">
        <v>7557.37</v>
      </c>
      <c r="AD43" s="145">
        <v>7557.37</v>
      </c>
      <c r="AE43" s="145">
        <v>7557.37</v>
      </c>
      <c r="AF43" s="145">
        <v>7557.37</v>
      </c>
      <c r="AG43" s="145">
        <v>7557.37</v>
      </c>
      <c r="AH43" s="145">
        <v>7557.37</v>
      </c>
      <c r="AI43" s="145">
        <v>7557.37</v>
      </c>
      <c r="AJ43" s="145">
        <v>7557.37</v>
      </c>
      <c r="AK43" s="145">
        <v>7557.37</v>
      </c>
      <c r="AL43" s="145">
        <v>7557.37</v>
      </c>
      <c r="AM43" s="145">
        <v>7557.37</v>
      </c>
      <c r="AN43" s="145">
        <v>7557.37</v>
      </c>
      <c r="AO43" s="145">
        <v>7557.37</v>
      </c>
      <c r="AP43" s="145">
        <v>7557.37</v>
      </c>
      <c r="AQ43" s="145">
        <v>7557.37</v>
      </c>
      <c r="AR43" s="145">
        <v>7557.37</v>
      </c>
      <c r="AS43" s="145">
        <v>7557.37</v>
      </c>
      <c r="AT43" s="145">
        <v>7557.37</v>
      </c>
      <c r="AU43" s="145">
        <v>7557.37</v>
      </c>
      <c r="AV43" s="145">
        <v>7557.37</v>
      </c>
      <c r="AW43" s="145">
        <v>7557.37</v>
      </c>
      <c r="AX43" s="145">
        <v>0</v>
      </c>
      <c r="AY43" s="145">
        <v>0</v>
      </c>
      <c r="AZ43" s="145">
        <v>0</v>
      </c>
      <c r="BA43" s="145">
        <v>0</v>
      </c>
      <c r="BB43" s="145">
        <v>0</v>
      </c>
      <c r="BC43" s="145">
        <v>0</v>
      </c>
      <c r="BD43" s="145">
        <v>0</v>
      </c>
      <c r="BE43" s="145">
        <v>0</v>
      </c>
      <c r="BF43" s="145">
        <v>0</v>
      </c>
    </row>
    <row r="44" spans="1:58">
      <c r="A44" s="130"/>
      <c r="B44" s="127"/>
      <c r="C44" s="127"/>
      <c r="D44" s="127"/>
      <c r="E44" s="127"/>
      <c r="F44" s="127"/>
      <c r="G44" s="127"/>
      <c r="H44" s="160"/>
      <c r="I44" s="127"/>
      <c r="J44" s="127"/>
      <c r="K44" s="135"/>
      <c r="L44" s="264" t="s">
        <v>697</v>
      </c>
      <c r="M44" s="264">
        <f t="shared" si="40"/>
        <v>15114.74</v>
      </c>
      <c r="N44" s="265">
        <v>0</v>
      </c>
      <c r="O44" s="265">
        <v>0</v>
      </c>
      <c r="P44" s="265">
        <v>0</v>
      </c>
      <c r="Q44" s="265">
        <v>0</v>
      </c>
      <c r="R44" s="265">
        <v>7557.37</v>
      </c>
      <c r="S44" s="265">
        <v>0</v>
      </c>
      <c r="T44" s="265">
        <v>0</v>
      </c>
      <c r="U44" s="265">
        <v>0</v>
      </c>
      <c r="V44" s="265">
        <v>0</v>
      </c>
      <c r="W44" s="265">
        <v>0</v>
      </c>
      <c r="X44" s="265">
        <v>0</v>
      </c>
      <c r="Y44" s="265">
        <v>0</v>
      </c>
      <c r="Z44" s="265">
        <v>0</v>
      </c>
      <c r="AA44" s="265">
        <v>0</v>
      </c>
      <c r="AB44" s="265">
        <v>0</v>
      </c>
      <c r="AC44" s="265">
        <v>0</v>
      </c>
      <c r="AD44" s="265">
        <v>0</v>
      </c>
      <c r="AE44" s="265">
        <v>0</v>
      </c>
      <c r="AF44" s="265">
        <v>0</v>
      </c>
      <c r="AG44" s="265">
        <v>0</v>
      </c>
      <c r="AH44" s="265">
        <v>0</v>
      </c>
      <c r="AI44" s="265">
        <v>0</v>
      </c>
      <c r="AJ44" s="265">
        <v>0</v>
      </c>
      <c r="AK44" s="265">
        <v>0</v>
      </c>
      <c r="AL44" s="265">
        <v>0</v>
      </c>
      <c r="AM44" s="265">
        <v>0</v>
      </c>
      <c r="AN44" s="265">
        <v>0</v>
      </c>
      <c r="AO44" s="265">
        <v>0</v>
      </c>
      <c r="AP44" s="265">
        <v>0</v>
      </c>
      <c r="AQ44" s="265">
        <v>0</v>
      </c>
      <c r="AR44" s="265">
        <v>0</v>
      </c>
      <c r="AS44" s="265">
        <v>0</v>
      </c>
      <c r="AT44" s="265">
        <v>0</v>
      </c>
      <c r="AU44" s="265">
        <v>0</v>
      </c>
      <c r="AV44" s="265">
        <v>0</v>
      </c>
      <c r="AW44" s="265">
        <v>0</v>
      </c>
      <c r="AX44" s="265">
        <v>7557.37</v>
      </c>
      <c r="AY44" s="265">
        <v>0</v>
      </c>
      <c r="AZ44" s="265">
        <v>0</v>
      </c>
      <c r="BA44" s="265">
        <v>0</v>
      </c>
      <c r="BB44" s="265">
        <v>0</v>
      </c>
      <c r="BC44" s="265">
        <v>0</v>
      </c>
      <c r="BD44" s="265">
        <v>0</v>
      </c>
      <c r="BE44" s="265">
        <v>0</v>
      </c>
      <c r="BF44" s="265">
        <v>0</v>
      </c>
    </row>
    <row r="45" spans="1:58" s="134" customFormat="1">
      <c r="A45" s="130">
        <v>5</v>
      </c>
      <c r="B45" s="131">
        <f>SUMIF('04a_PROPUESTA_MO'!$R$9:$R$42,'07a_ATC'!A45,'04a_PROPUESTA_MO'!$T$9:$T$42)</f>
        <v>27038.024665190002</v>
      </c>
      <c r="C45" s="131">
        <f>SUMIF('04a_PROPUESTA_MO'!$R$9:$R$42,'07a_ATC'!A45,'04a_PROPUESTA_MO'!$AH$9:$AH$42)</f>
        <v>2870.317660930994</v>
      </c>
      <c r="D45" s="131">
        <f>SUMIF('04a_PROPUESTA_MO'!$R$9:$R$42,'07a_ATC'!A45,'04a_PROPUESTA_MO'!$AI$9:$AI$42)</f>
        <v>13279.248504517975</v>
      </c>
      <c r="E45" s="131">
        <f>SUMIF('04a_PROPUESTA_MO'!$R$9:$R$42,'07a_ATC'!A45,'04a_PROPUESTA_MO'!$AJ$9:$AJ$42)</f>
        <v>2806.2957185564351</v>
      </c>
      <c r="F45" s="131">
        <f t="shared" si="10"/>
        <v>18955.861884005404</v>
      </c>
      <c r="G45" s="131">
        <f t="shared" si="11"/>
        <v>8082.1627811845974</v>
      </c>
      <c r="H45" s="159">
        <f>G45/$G$7</f>
        <v>0.14014051790049575</v>
      </c>
      <c r="I45" s="131">
        <f t="shared" si="12"/>
        <v>2084.0473711146669</v>
      </c>
      <c r="J45" s="131">
        <f>SUMIF('04a_PROPUESTA_MO'!$R$9:$R$42,'07a_ATC'!A45,'04a_PROPUESTA_MO'!$AN$9:$AN$42)</f>
        <v>5998.1154100699305</v>
      </c>
      <c r="K45" s="132">
        <f t="shared" si="13"/>
        <v>0.13648196438103818</v>
      </c>
      <c r="L45" s="131"/>
      <c r="M45" s="151">
        <f>SUM(M46:M52)</f>
        <v>202099.67999999996</v>
      </c>
      <c r="N45" s="151">
        <f t="shared" ref="N45:AR45" si="41">SUM(N46:N52)</f>
        <v>5684.65</v>
      </c>
      <c r="O45" s="151">
        <f t="shared" si="41"/>
        <v>6173.23</v>
      </c>
      <c r="P45" s="151">
        <f t="shared" si="41"/>
        <v>6173.22</v>
      </c>
      <c r="Q45" s="151">
        <f t="shared" si="41"/>
        <v>6173.22</v>
      </c>
      <c r="R45" s="151">
        <f t="shared" si="41"/>
        <v>0</v>
      </c>
      <c r="S45" s="151">
        <f t="shared" si="41"/>
        <v>5738.56</v>
      </c>
      <c r="T45" s="151">
        <f t="shared" si="41"/>
        <v>5738.56</v>
      </c>
      <c r="U45" s="151">
        <f t="shared" si="41"/>
        <v>5738.56</v>
      </c>
      <c r="V45" s="151">
        <f t="shared" si="41"/>
        <v>5738.56</v>
      </c>
      <c r="W45" s="151">
        <f t="shared" si="41"/>
        <v>5738.56</v>
      </c>
      <c r="X45" s="151">
        <f t="shared" si="41"/>
        <v>5738.56</v>
      </c>
      <c r="Y45" s="151">
        <f t="shared" si="41"/>
        <v>5738.56</v>
      </c>
      <c r="Z45" s="151">
        <f t="shared" si="41"/>
        <v>5738.56</v>
      </c>
      <c r="AA45" s="151">
        <f t="shared" si="41"/>
        <v>5738.56</v>
      </c>
      <c r="AB45" s="151">
        <f t="shared" si="41"/>
        <v>5738.56</v>
      </c>
      <c r="AC45" s="151">
        <f t="shared" si="41"/>
        <v>5738.56</v>
      </c>
      <c r="AD45" s="151">
        <f t="shared" si="41"/>
        <v>5738.56</v>
      </c>
      <c r="AE45" s="151">
        <f t="shared" si="41"/>
        <v>5738.56</v>
      </c>
      <c r="AF45" s="151">
        <f t="shared" si="41"/>
        <v>5738.56</v>
      </c>
      <c r="AG45" s="151">
        <f t="shared" si="41"/>
        <v>5738.56</v>
      </c>
      <c r="AH45" s="151">
        <f t="shared" si="41"/>
        <v>5738.56</v>
      </c>
      <c r="AI45" s="151">
        <f t="shared" si="41"/>
        <v>5738.56</v>
      </c>
      <c r="AJ45" s="151">
        <f t="shared" si="41"/>
        <v>5738.56</v>
      </c>
      <c r="AK45" s="151">
        <f t="shared" si="41"/>
        <v>5738.56</v>
      </c>
      <c r="AL45" s="151">
        <f t="shared" si="41"/>
        <v>5738.56</v>
      </c>
      <c r="AM45" s="151">
        <f t="shared" si="41"/>
        <v>5738.56</v>
      </c>
      <c r="AN45" s="151">
        <f t="shared" si="41"/>
        <v>5738.56</v>
      </c>
      <c r="AO45" s="151">
        <f t="shared" si="41"/>
        <v>5738.56</v>
      </c>
      <c r="AP45" s="151">
        <f t="shared" si="41"/>
        <v>5738.56</v>
      </c>
      <c r="AQ45" s="151">
        <f t="shared" si="41"/>
        <v>5738.56</v>
      </c>
      <c r="AR45" s="151">
        <f t="shared" si="41"/>
        <v>5738.56</v>
      </c>
      <c r="AS45" s="151">
        <f t="shared" ref="AS45" si="42">SUM(AS46:AS52)</f>
        <v>5738.56</v>
      </c>
      <c r="AT45" s="151">
        <f t="shared" ref="AT45" si="43">SUM(AT46:AT52)</f>
        <v>5738.56</v>
      </c>
      <c r="AU45" s="151">
        <f t="shared" ref="AU45" si="44">SUM(AU46:AU52)</f>
        <v>5738.56</v>
      </c>
      <c r="AV45" s="151">
        <f t="shared" ref="AV45" si="45">SUM(AV46:AV52)</f>
        <v>5738.56</v>
      </c>
      <c r="AW45" s="151">
        <f t="shared" ref="AW45" si="46">SUM(AW46:AW52)</f>
        <v>5738.56</v>
      </c>
      <c r="AX45" s="151">
        <f t="shared" ref="AX45" si="47">SUM(AX46:AX52)</f>
        <v>0</v>
      </c>
      <c r="AY45" s="151">
        <f t="shared" ref="AY45:BF45" si="48">SUM(AY46:AY52)</f>
        <v>0</v>
      </c>
      <c r="AZ45" s="151">
        <f t="shared" si="48"/>
        <v>0</v>
      </c>
      <c r="BA45" s="151">
        <f t="shared" si="48"/>
        <v>0</v>
      </c>
      <c r="BB45" s="151">
        <f t="shared" si="48"/>
        <v>0</v>
      </c>
      <c r="BC45" s="151">
        <f t="shared" si="48"/>
        <v>0</v>
      </c>
      <c r="BD45" s="151">
        <f t="shared" si="48"/>
        <v>0</v>
      </c>
      <c r="BE45" s="151">
        <f t="shared" si="48"/>
        <v>0</v>
      </c>
      <c r="BF45" s="151">
        <f t="shared" si="48"/>
        <v>0</v>
      </c>
    </row>
    <row r="46" spans="1:58">
      <c r="A46" s="130"/>
      <c r="B46" s="127"/>
      <c r="C46" s="127"/>
      <c r="D46" s="127"/>
      <c r="E46" s="127"/>
      <c r="F46" s="127"/>
      <c r="G46" s="127"/>
      <c r="H46" s="160"/>
      <c r="I46" s="127"/>
      <c r="J46" s="127"/>
      <c r="K46" s="135"/>
      <c r="L46" s="138" t="str">
        <f>'00_Datos_Mercado'!$B$3</f>
        <v xml:space="preserve">a_CS - Creativos </v>
      </c>
      <c r="M46" s="148">
        <f t="shared" ref="M46:M53" si="49">SUM(N46:BF46)</f>
        <v>5093.8</v>
      </c>
      <c r="N46" s="145">
        <v>2436.15</v>
      </c>
      <c r="O46" s="145">
        <v>2657.65</v>
      </c>
      <c r="P46" s="145">
        <v>0</v>
      </c>
      <c r="Q46" s="145">
        <v>0</v>
      </c>
      <c r="R46" s="145">
        <v>0</v>
      </c>
      <c r="S46" s="145">
        <v>0</v>
      </c>
      <c r="T46" s="145">
        <v>0</v>
      </c>
      <c r="U46" s="145">
        <v>0</v>
      </c>
      <c r="V46" s="145">
        <v>0</v>
      </c>
      <c r="W46" s="145">
        <v>0</v>
      </c>
      <c r="X46" s="145">
        <v>0</v>
      </c>
      <c r="Y46" s="145">
        <v>0</v>
      </c>
      <c r="Z46" s="145">
        <v>0</v>
      </c>
      <c r="AA46" s="145">
        <v>0</v>
      </c>
      <c r="AB46" s="145">
        <v>0</v>
      </c>
      <c r="AC46" s="145">
        <v>0</v>
      </c>
      <c r="AD46" s="145">
        <v>0</v>
      </c>
      <c r="AE46" s="145">
        <v>0</v>
      </c>
      <c r="AF46" s="145">
        <v>0</v>
      </c>
      <c r="AG46" s="145">
        <v>0</v>
      </c>
      <c r="AH46" s="145">
        <v>0</v>
      </c>
      <c r="AI46" s="145">
        <v>0</v>
      </c>
      <c r="AJ46" s="145">
        <v>0</v>
      </c>
      <c r="AK46" s="145">
        <v>0</v>
      </c>
      <c r="AL46" s="145">
        <v>0</v>
      </c>
      <c r="AM46" s="145">
        <v>0</v>
      </c>
      <c r="AN46" s="145">
        <v>0</v>
      </c>
      <c r="AO46" s="145">
        <v>0</v>
      </c>
      <c r="AP46" s="145">
        <v>0</v>
      </c>
      <c r="AQ46" s="145">
        <v>0</v>
      </c>
      <c r="AR46" s="145">
        <v>0</v>
      </c>
      <c r="AS46" s="145">
        <v>0</v>
      </c>
      <c r="AT46" s="145">
        <v>0</v>
      </c>
      <c r="AU46" s="145">
        <v>0</v>
      </c>
      <c r="AV46" s="145">
        <v>0</v>
      </c>
      <c r="AW46" s="145">
        <v>0</v>
      </c>
      <c r="AX46" s="145">
        <v>0</v>
      </c>
      <c r="AY46" s="145">
        <v>0</v>
      </c>
      <c r="AZ46" s="145">
        <v>0</v>
      </c>
      <c r="BA46" s="145">
        <v>0</v>
      </c>
      <c r="BB46" s="145">
        <v>0</v>
      </c>
      <c r="BC46" s="145">
        <v>0</v>
      </c>
      <c r="BD46" s="145">
        <v>0</v>
      </c>
      <c r="BE46" s="145">
        <v>0</v>
      </c>
      <c r="BF46" s="145">
        <v>0</v>
      </c>
    </row>
    <row r="47" spans="1:58">
      <c r="A47" s="130"/>
      <c r="B47" s="127"/>
      <c r="C47" s="127"/>
      <c r="D47" s="127"/>
      <c r="E47" s="127"/>
      <c r="F47" s="127"/>
      <c r="G47" s="127"/>
      <c r="H47" s="160"/>
      <c r="I47" s="127"/>
      <c r="J47" s="127"/>
      <c r="K47" s="135"/>
      <c r="L47" s="139" t="str">
        <f>'00_Datos_Mercado'!$B$4</f>
        <v>b_CS - General (Comercio + Oficinas + Hospedaje)</v>
      </c>
      <c r="M47" s="148">
        <f t="shared" si="49"/>
        <v>19110.52</v>
      </c>
      <c r="N47" s="145">
        <v>3248.5</v>
      </c>
      <c r="O47" s="145">
        <v>3515.58</v>
      </c>
      <c r="P47" s="145">
        <v>6173.22</v>
      </c>
      <c r="Q47" s="145">
        <v>6173.22</v>
      </c>
      <c r="R47" s="145">
        <v>0</v>
      </c>
      <c r="S47" s="145">
        <v>0</v>
      </c>
      <c r="T47" s="145">
        <v>0</v>
      </c>
      <c r="U47" s="145">
        <v>0</v>
      </c>
      <c r="V47" s="145">
        <v>0</v>
      </c>
      <c r="W47" s="145">
        <v>0</v>
      </c>
      <c r="X47" s="145">
        <v>0</v>
      </c>
      <c r="Y47" s="145">
        <v>0</v>
      </c>
      <c r="Z47" s="145">
        <v>0</v>
      </c>
      <c r="AA47" s="145">
        <v>0</v>
      </c>
      <c r="AB47" s="145">
        <v>0</v>
      </c>
      <c r="AC47" s="145">
        <v>0</v>
      </c>
      <c r="AD47" s="145">
        <v>0</v>
      </c>
      <c r="AE47" s="145">
        <v>0</v>
      </c>
      <c r="AF47" s="145">
        <v>0</v>
      </c>
      <c r="AG47" s="145">
        <v>0</v>
      </c>
      <c r="AH47" s="145">
        <v>0</v>
      </c>
      <c r="AI47" s="145">
        <v>0</v>
      </c>
      <c r="AJ47" s="145">
        <v>0</v>
      </c>
      <c r="AK47" s="145">
        <v>0</v>
      </c>
      <c r="AL47" s="145">
        <v>0</v>
      </c>
      <c r="AM47" s="145">
        <v>0</v>
      </c>
      <c r="AN47" s="145">
        <v>0</v>
      </c>
      <c r="AO47" s="145">
        <v>0</v>
      </c>
      <c r="AP47" s="145">
        <v>0</v>
      </c>
      <c r="AQ47" s="145">
        <v>0</v>
      </c>
      <c r="AR47" s="145">
        <v>0</v>
      </c>
      <c r="AS47" s="145">
        <v>0</v>
      </c>
      <c r="AT47" s="145">
        <v>0</v>
      </c>
      <c r="AU47" s="145">
        <v>0</v>
      </c>
      <c r="AV47" s="145">
        <v>0</v>
      </c>
      <c r="AW47" s="145">
        <v>0</v>
      </c>
      <c r="AX47" s="145">
        <v>0</v>
      </c>
      <c r="AY47" s="145">
        <v>0</v>
      </c>
      <c r="AZ47" s="145">
        <v>0</v>
      </c>
      <c r="BA47" s="145">
        <v>0</v>
      </c>
      <c r="BB47" s="145">
        <v>0</v>
      </c>
      <c r="BC47" s="145">
        <v>0</v>
      </c>
      <c r="BD47" s="145">
        <v>0</v>
      </c>
      <c r="BE47" s="145">
        <v>0</v>
      </c>
      <c r="BF47" s="145">
        <v>0</v>
      </c>
    </row>
    <row r="48" spans="1:58">
      <c r="A48" s="130"/>
      <c r="B48" s="127"/>
      <c r="C48" s="127"/>
      <c r="D48" s="127"/>
      <c r="E48" s="127"/>
      <c r="F48" s="127"/>
      <c r="G48" s="127"/>
      <c r="H48" s="160"/>
      <c r="I48" s="127"/>
      <c r="J48" s="127"/>
      <c r="K48" s="135"/>
      <c r="L48" s="140" t="str">
        <f>'00_Datos_Mercado'!$B$5</f>
        <v>c_CS - Grandes Superficies</v>
      </c>
      <c r="M48" s="148">
        <f t="shared" si="49"/>
        <v>0</v>
      </c>
      <c r="N48" s="145">
        <v>0</v>
      </c>
      <c r="O48" s="145">
        <v>0</v>
      </c>
      <c r="P48" s="145">
        <v>0</v>
      </c>
      <c r="Q48" s="145">
        <v>0</v>
      </c>
      <c r="R48" s="145">
        <v>0</v>
      </c>
      <c r="S48" s="145">
        <v>0</v>
      </c>
      <c r="T48" s="145">
        <v>0</v>
      </c>
      <c r="U48" s="145">
        <v>0</v>
      </c>
      <c r="V48" s="145">
        <v>0</v>
      </c>
      <c r="W48" s="145">
        <v>0</v>
      </c>
      <c r="X48" s="145">
        <v>0</v>
      </c>
      <c r="Y48" s="145">
        <v>0</v>
      </c>
      <c r="Z48" s="145">
        <v>0</v>
      </c>
      <c r="AA48" s="145">
        <v>0</v>
      </c>
      <c r="AB48" s="145">
        <v>0</v>
      </c>
      <c r="AC48" s="145">
        <v>0</v>
      </c>
      <c r="AD48" s="145">
        <v>0</v>
      </c>
      <c r="AE48" s="145">
        <v>0</v>
      </c>
      <c r="AF48" s="145">
        <v>0</v>
      </c>
      <c r="AG48" s="145">
        <v>0</v>
      </c>
      <c r="AH48" s="145">
        <v>0</v>
      </c>
      <c r="AI48" s="145">
        <v>0</v>
      </c>
      <c r="AJ48" s="145">
        <v>0</v>
      </c>
      <c r="AK48" s="145">
        <v>0</v>
      </c>
      <c r="AL48" s="145">
        <v>0</v>
      </c>
      <c r="AM48" s="145">
        <v>0</v>
      </c>
      <c r="AN48" s="145">
        <v>0</v>
      </c>
      <c r="AO48" s="145">
        <v>0</v>
      </c>
      <c r="AP48" s="145">
        <v>0</v>
      </c>
      <c r="AQ48" s="145">
        <v>0</v>
      </c>
      <c r="AR48" s="145">
        <v>0</v>
      </c>
      <c r="AS48" s="145">
        <v>0</v>
      </c>
      <c r="AT48" s="145">
        <v>0</v>
      </c>
      <c r="AU48" s="145">
        <v>0</v>
      </c>
      <c r="AV48" s="145">
        <v>0</v>
      </c>
      <c r="AW48" s="145">
        <v>0</v>
      </c>
      <c r="AX48" s="145">
        <v>0</v>
      </c>
      <c r="AY48" s="145">
        <v>0</v>
      </c>
      <c r="AZ48" s="145">
        <v>0</v>
      </c>
      <c r="BA48" s="145">
        <v>0</v>
      </c>
      <c r="BB48" s="145">
        <v>0</v>
      </c>
      <c r="BC48" s="145">
        <v>0</v>
      </c>
      <c r="BD48" s="145">
        <v>0</v>
      </c>
      <c r="BE48" s="145">
        <v>0</v>
      </c>
      <c r="BF48" s="145">
        <v>0</v>
      </c>
    </row>
    <row r="49" spans="1:58">
      <c r="A49" s="130"/>
      <c r="B49" s="127"/>
      <c r="C49" s="127"/>
      <c r="D49" s="127"/>
      <c r="E49" s="127"/>
      <c r="F49" s="127"/>
      <c r="G49" s="127"/>
      <c r="H49" s="160"/>
      <c r="I49" s="127"/>
      <c r="J49" s="127"/>
      <c r="K49" s="135"/>
      <c r="L49" s="141" t="str">
        <f>'00_Datos_Mercado'!$B$6</f>
        <v>d_CS - Torre Empresarial (Oficinas + Hospedaje)</v>
      </c>
      <c r="M49" s="148">
        <f t="shared" si="49"/>
        <v>0</v>
      </c>
      <c r="N49" s="145">
        <v>0</v>
      </c>
      <c r="O49" s="145">
        <v>0</v>
      </c>
      <c r="P49" s="145">
        <v>0</v>
      </c>
      <c r="Q49" s="145">
        <v>0</v>
      </c>
      <c r="R49" s="145">
        <v>0</v>
      </c>
      <c r="S49" s="145">
        <v>0</v>
      </c>
      <c r="T49" s="145">
        <v>0</v>
      </c>
      <c r="U49" s="145">
        <v>0</v>
      </c>
      <c r="V49" s="145">
        <v>0</v>
      </c>
      <c r="W49" s="145">
        <v>0</v>
      </c>
      <c r="X49" s="145">
        <v>0</v>
      </c>
      <c r="Y49" s="145">
        <v>0</v>
      </c>
      <c r="Z49" s="145">
        <v>0</v>
      </c>
      <c r="AA49" s="145">
        <v>0</v>
      </c>
      <c r="AB49" s="145">
        <v>0</v>
      </c>
      <c r="AC49" s="145">
        <v>0</v>
      </c>
      <c r="AD49" s="145">
        <v>0</v>
      </c>
      <c r="AE49" s="145">
        <v>0</v>
      </c>
      <c r="AF49" s="145">
        <v>0</v>
      </c>
      <c r="AG49" s="145">
        <v>0</v>
      </c>
      <c r="AH49" s="145">
        <v>0</v>
      </c>
      <c r="AI49" s="145">
        <v>0</v>
      </c>
      <c r="AJ49" s="145">
        <v>0</v>
      </c>
      <c r="AK49" s="145">
        <v>0</v>
      </c>
      <c r="AL49" s="145">
        <v>0</v>
      </c>
      <c r="AM49" s="145">
        <v>0</v>
      </c>
      <c r="AN49" s="145">
        <v>0</v>
      </c>
      <c r="AO49" s="145">
        <v>0</v>
      </c>
      <c r="AP49" s="145">
        <v>0</v>
      </c>
      <c r="AQ49" s="145">
        <v>0</v>
      </c>
      <c r="AR49" s="145">
        <v>0</v>
      </c>
      <c r="AS49" s="145">
        <v>0</v>
      </c>
      <c r="AT49" s="145">
        <v>0</v>
      </c>
      <c r="AU49" s="145">
        <v>0</v>
      </c>
      <c r="AV49" s="145">
        <v>0</v>
      </c>
      <c r="AW49" s="145">
        <v>0</v>
      </c>
      <c r="AX49" s="145">
        <v>0</v>
      </c>
      <c r="AY49" s="145">
        <v>0</v>
      </c>
      <c r="AZ49" s="145">
        <v>0</v>
      </c>
      <c r="BA49" s="145">
        <v>0</v>
      </c>
      <c r="BB49" s="145">
        <v>0</v>
      </c>
      <c r="BC49" s="145">
        <v>0</v>
      </c>
      <c r="BD49" s="145">
        <v>0</v>
      </c>
      <c r="BE49" s="145">
        <v>0</v>
      </c>
      <c r="BF49" s="145">
        <v>0</v>
      </c>
    </row>
    <row r="50" spans="1:58">
      <c r="A50" s="130"/>
      <c r="B50" s="127"/>
      <c r="C50" s="127"/>
      <c r="D50" s="127"/>
      <c r="E50" s="127"/>
      <c r="F50" s="127"/>
      <c r="G50" s="127"/>
      <c r="H50" s="160"/>
      <c r="I50" s="127"/>
      <c r="J50" s="127"/>
      <c r="K50" s="135"/>
      <c r="L50" s="142" t="str">
        <f>'00_Datos_Mercado'!$B$7</f>
        <v>e_CS - Innovation (H, CS, Gamers)</v>
      </c>
      <c r="M50" s="148">
        <f t="shared" si="49"/>
        <v>0</v>
      </c>
      <c r="N50" s="145">
        <v>0</v>
      </c>
      <c r="O50" s="145">
        <v>0</v>
      </c>
      <c r="P50" s="145">
        <v>0</v>
      </c>
      <c r="Q50" s="145">
        <v>0</v>
      </c>
      <c r="R50" s="145">
        <v>0</v>
      </c>
      <c r="S50" s="145">
        <v>0</v>
      </c>
      <c r="T50" s="145">
        <v>0</v>
      </c>
      <c r="U50" s="145">
        <v>0</v>
      </c>
      <c r="V50" s="145">
        <v>0</v>
      </c>
      <c r="W50" s="145">
        <v>0</v>
      </c>
      <c r="X50" s="145">
        <v>0</v>
      </c>
      <c r="Y50" s="145">
        <v>0</v>
      </c>
      <c r="Z50" s="145">
        <v>0</v>
      </c>
      <c r="AA50" s="145">
        <v>0</v>
      </c>
      <c r="AB50" s="145">
        <v>0</v>
      </c>
      <c r="AC50" s="145">
        <v>0</v>
      </c>
      <c r="AD50" s="145">
        <v>0</v>
      </c>
      <c r="AE50" s="145">
        <v>0</v>
      </c>
      <c r="AF50" s="145">
        <v>0</v>
      </c>
      <c r="AG50" s="145">
        <v>0</v>
      </c>
      <c r="AH50" s="145">
        <v>0</v>
      </c>
      <c r="AI50" s="145">
        <v>0</v>
      </c>
      <c r="AJ50" s="145">
        <v>0</v>
      </c>
      <c r="AK50" s="145">
        <v>0</v>
      </c>
      <c r="AL50" s="145">
        <v>0</v>
      </c>
      <c r="AM50" s="145">
        <v>0</v>
      </c>
      <c r="AN50" s="145">
        <v>0</v>
      </c>
      <c r="AO50" s="145">
        <v>0</v>
      </c>
      <c r="AP50" s="145">
        <v>0</v>
      </c>
      <c r="AQ50" s="145">
        <v>0</v>
      </c>
      <c r="AR50" s="145">
        <v>0</v>
      </c>
      <c r="AS50" s="145">
        <v>0</v>
      </c>
      <c r="AT50" s="145">
        <v>0</v>
      </c>
      <c r="AU50" s="145">
        <v>0</v>
      </c>
      <c r="AV50" s="145">
        <v>0</v>
      </c>
      <c r="AW50" s="145">
        <v>0</v>
      </c>
      <c r="AX50" s="145">
        <v>0</v>
      </c>
      <c r="AY50" s="145">
        <v>0</v>
      </c>
      <c r="AZ50" s="145">
        <v>0</v>
      </c>
      <c r="BA50" s="145">
        <v>0</v>
      </c>
      <c r="BB50" s="145">
        <v>0</v>
      </c>
      <c r="BC50" s="145">
        <v>0</v>
      </c>
      <c r="BD50" s="145">
        <v>0</v>
      </c>
      <c r="BE50" s="145">
        <v>0</v>
      </c>
      <c r="BF50" s="145">
        <v>0</v>
      </c>
    </row>
    <row r="51" spans="1:58">
      <c r="A51" s="130"/>
      <c r="B51" s="127"/>
      <c r="C51" s="127"/>
      <c r="D51" s="127"/>
      <c r="E51" s="127"/>
      <c r="F51" s="127"/>
      <c r="G51" s="127"/>
      <c r="H51" s="160"/>
      <c r="I51" s="127"/>
      <c r="J51" s="127"/>
      <c r="K51" s="135"/>
      <c r="L51" s="144" t="str">
        <f>'00_Datos_Mercado'!$B$8</f>
        <v xml:space="preserve">f_RES - VIS Ru </v>
      </c>
      <c r="M51" s="148">
        <f t="shared" si="49"/>
        <v>22954.240000000002</v>
      </c>
      <c r="N51" s="145">
        <v>0</v>
      </c>
      <c r="O51" s="145">
        <v>0</v>
      </c>
      <c r="P51" s="145">
        <v>0</v>
      </c>
      <c r="Q51" s="145">
        <v>0</v>
      </c>
      <c r="R51" s="145">
        <v>0</v>
      </c>
      <c r="S51" s="145">
        <v>5738.56</v>
      </c>
      <c r="T51" s="145">
        <v>5738.56</v>
      </c>
      <c r="U51" s="145">
        <v>5738.56</v>
      </c>
      <c r="V51" s="145">
        <v>5738.56</v>
      </c>
      <c r="W51" s="145">
        <v>0</v>
      </c>
      <c r="X51" s="145">
        <v>0</v>
      </c>
      <c r="Y51" s="145">
        <v>0</v>
      </c>
      <c r="Z51" s="145">
        <v>0</v>
      </c>
      <c r="AA51" s="145">
        <v>0</v>
      </c>
      <c r="AB51" s="145">
        <v>0</v>
      </c>
      <c r="AC51" s="145">
        <v>0</v>
      </c>
      <c r="AD51" s="145">
        <v>0</v>
      </c>
      <c r="AE51" s="145">
        <v>0</v>
      </c>
      <c r="AF51" s="145">
        <v>0</v>
      </c>
      <c r="AG51" s="145">
        <v>0</v>
      </c>
      <c r="AH51" s="145">
        <v>0</v>
      </c>
      <c r="AI51" s="145">
        <v>0</v>
      </c>
      <c r="AJ51" s="145">
        <v>0</v>
      </c>
      <c r="AK51" s="145">
        <v>0</v>
      </c>
      <c r="AL51" s="145">
        <v>0</v>
      </c>
      <c r="AM51" s="145">
        <v>0</v>
      </c>
      <c r="AN51" s="145">
        <v>0</v>
      </c>
      <c r="AO51" s="145">
        <v>0</v>
      </c>
      <c r="AP51" s="145">
        <v>0</v>
      </c>
      <c r="AQ51" s="145">
        <v>0</v>
      </c>
      <c r="AR51" s="145">
        <v>0</v>
      </c>
      <c r="AS51" s="145">
        <v>0</v>
      </c>
      <c r="AT51" s="145">
        <v>0</v>
      </c>
      <c r="AU51" s="145">
        <v>0</v>
      </c>
      <c r="AV51" s="145">
        <v>0</v>
      </c>
      <c r="AW51" s="145">
        <v>0</v>
      </c>
      <c r="AX51" s="145">
        <v>0</v>
      </c>
      <c r="AY51" s="145">
        <v>0</v>
      </c>
      <c r="AZ51" s="145">
        <v>0</v>
      </c>
      <c r="BA51" s="145">
        <v>0</v>
      </c>
      <c r="BB51" s="145">
        <v>0</v>
      </c>
      <c r="BC51" s="145">
        <v>0</v>
      </c>
      <c r="BD51" s="145">
        <v>0</v>
      </c>
      <c r="BE51" s="145">
        <v>0</v>
      </c>
      <c r="BF51" s="145">
        <v>0</v>
      </c>
    </row>
    <row r="52" spans="1:58">
      <c r="A52" s="130"/>
      <c r="B52" s="127"/>
      <c r="C52" s="127"/>
      <c r="D52" s="127"/>
      <c r="E52" s="127"/>
      <c r="F52" s="127"/>
      <c r="G52" s="127"/>
      <c r="H52" s="160"/>
      <c r="I52" s="127"/>
      <c r="J52" s="127"/>
      <c r="K52" s="135"/>
      <c r="L52" s="143" t="str">
        <f>'00_Datos_Mercado'!$B$10</f>
        <v>i_RES - No VIS</v>
      </c>
      <c r="M52" s="148">
        <f t="shared" si="49"/>
        <v>154941.11999999997</v>
      </c>
      <c r="N52" s="145">
        <v>0</v>
      </c>
      <c r="O52" s="145">
        <v>0</v>
      </c>
      <c r="P52" s="145">
        <v>0</v>
      </c>
      <c r="Q52" s="145">
        <v>0</v>
      </c>
      <c r="R52" s="145">
        <v>0</v>
      </c>
      <c r="S52" s="145">
        <v>0</v>
      </c>
      <c r="T52" s="145">
        <v>0</v>
      </c>
      <c r="U52" s="145">
        <v>0</v>
      </c>
      <c r="V52" s="145">
        <v>0</v>
      </c>
      <c r="W52" s="145">
        <v>5738.56</v>
      </c>
      <c r="X52" s="145">
        <v>5738.56</v>
      </c>
      <c r="Y52" s="145">
        <v>5738.56</v>
      </c>
      <c r="Z52" s="145">
        <v>5738.56</v>
      </c>
      <c r="AA52" s="145">
        <v>5738.56</v>
      </c>
      <c r="AB52" s="145">
        <v>5738.56</v>
      </c>
      <c r="AC52" s="145">
        <v>5738.56</v>
      </c>
      <c r="AD52" s="145">
        <v>5738.56</v>
      </c>
      <c r="AE52" s="145">
        <v>5738.56</v>
      </c>
      <c r="AF52" s="145">
        <v>5738.56</v>
      </c>
      <c r="AG52" s="145">
        <v>5738.56</v>
      </c>
      <c r="AH52" s="145">
        <v>5738.56</v>
      </c>
      <c r="AI52" s="145">
        <v>5738.56</v>
      </c>
      <c r="AJ52" s="145">
        <v>5738.56</v>
      </c>
      <c r="AK52" s="145">
        <v>5738.56</v>
      </c>
      <c r="AL52" s="145">
        <v>5738.56</v>
      </c>
      <c r="AM52" s="145">
        <v>5738.56</v>
      </c>
      <c r="AN52" s="145">
        <v>5738.56</v>
      </c>
      <c r="AO52" s="145">
        <v>5738.56</v>
      </c>
      <c r="AP52" s="145">
        <v>5738.56</v>
      </c>
      <c r="AQ52" s="145">
        <v>5738.56</v>
      </c>
      <c r="AR52" s="145">
        <v>5738.56</v>
      </c>
      <c r="AS52" s="145">
        <v>5738.56</v>
      </c>
      <c r="AT52" s="145">
        <v>5738.56</v>
      </c>
      <c r="AU52" s="145">
        <v>5738.56</v>
      </c>
      <c r="AV52" s="145">
        <v>5738.56</v>
      </c>
      <c r="AW52" s="145">
        <v>5738.56</v>
      </c>
      <c r="AX52" s="145">
        <v>0</v>
      </c>
      <c r="AY52" s="145">
        <v>0</v>
      </c>
      <c r="AZ52" s="145">
        <v>0</v>
      </c>
      <c r="BA52" s="145">
        <v>0</v>
      </c>
      <c r="BB52" s="145">
        <v>0</v>
      </c>
      <c r="BC52" s="145">
        <v>0</v>
      </c>
      <c r="BD52" s="145">
        <v>0</v>
      </c>
      <c r="BE52" s="145">
        <v>0</v>
      </c>
      <c r="BF52" s="145">
        <v>0</v>
      </c>
    </row>
    <row r="53" spans="1:58">
      <c r="A53" s="130"/>
      <c r="B53" s="127"/>
      <c r="C53" s="127"/>
      <c r="D53" s="127"/>
      <c r="E53" s="127"/>
      <c r="F53" s="127"/>
      <c r="G53" s="127"/>
      <c r="H53" s="160"/>
      <c r="I53" s="127"/>
      <c r="J53" s="127"/>
      <c r="K53" s="135"/>
      <c r="L53" s="264" t="s">
        <v>697</v>
      </c>
      <c r="M53" s="264">
        <f t="shared" si="49"/>
        <v>11477.12</v>
      </c>
      <c r="N53" s="265">
        <v>0</v>
      </c>
      <c r="O53" s="265">
        <v>0</v>
      </c>
      <c r="P53" s="265">
        <v>0</v>
      </c>
      <c r="Q53" s="265">
        <v>0</v>
      </c>
      <c r="R53" s="265">
        <v>5738.56</v>
      </c>
      <c r="S53" s="265">
        <v>0</v>
      </c>
      <c r="T53" s="265">
        <v>0</v>
      </c>
      <c r="U53" s="265">
        <v>0</v>
      </c>
      <c r="V53" s="265">
        <v>0</v>
      </c>
      <c r="W53" s="265">
        <v>0</v>
      </c>
      <c r="X53" s="265">
        <v>0</v>
      </c>
      <c r="Y53" s="265">
        <v>0</v>
      </c>
      <c r="Z53" s="265">
        <v>0</v>
      </c>
      <c r="AA53" s="265">
        <v>0</v>
      </c>
      <c r="AB53" s="265">
        <v>0</v>
      </c>
      <c r="AC53" s="265">
        <v>0</v>
      </c>
      <c r="AD53" s="265">
        <v>0</v>
      </c>
      <c r="AE53" s="265">
        <v>0</v>
      </c>
      <c r="AF53" s="265">
        <v>0</v>
      </c>
      <c r="AG53" s="265">
        <v>0</v>
      </c>
      <c r="AH53" s="265">
        <v>0</v>
      </c>
      <c r="AI53" s="265">
        <v>0</v>
      </c>
      <c r="AJ53" s="265">
        <v>0</v>
      </c>
      <c r="AK53" s="265">
        <v>0</v>
      </c>
      <c r="AL53" s="265">
        <v>0</v>
      </c>
      <c r="AM53" s="265">
        <v>0</v>
      </c>
      <c r="AN53" s="265">
        <v>0</v>
      </c>
      <c r="AO53" s="265">
        <v>0</v>
      </c>
      <c r="AP53" s="265">
        <v>0</v>
      </c>
      <c r="AQ53" s="265">
        <v>0</v>
      </c>
      <c r="AR53" s="265">
        <v>0</v>
      </c>
      <c r="AS53" s="265">
        <v>0</v>
      </c>
      <c r="AT53" s="265">
        <v>0</v>
      </c>
      <c r="AU53" s="265">
        <v>0</v>
      </c>
      <c r="AV53" s="265">
        <v>0</v>
      </c>
      <c r="AW53" s="265">
        <v>0</v>
      </c>
      <c r="AX53" s="265">
        <v>5738.56</v>
      </c>
      <c r="AY53" s="265">
        <v>0</v>
      </c>
      <c r="AZ53" s="265">
        <v>0</v>
      </c>
      <c r="BA53" s="265">
        <v>0</v>
      </c>
      <c r="BB53" s="266">
        <v>0</v>
      </c>
      <c r="BC53" s="266">
        <v>0</v>
      </c>
      <c r="BD53" s="266">
        <v>0</v>
      </c>
      <c r="BE53" s="266">
        <v>0</v>
      </c>
      <c r="BF53" s="266">
        <v>0</v>
      </c>
    </row>
    <row r="54" spans="1:58" s="134" customFormat="1">
      <c r="A54" s="130">
        <v>6</v>
      </c>
      <c r="B54" s="131">
        <f>SUMIF('04a_PROPUESTA_MO'!$R$9:$R$42,'07a_ATC'!A54,'04a_PROPUESTA_MO'!$T$9:$T$42)</f>
        <v>21089.89942655</v>
      </c>
      <c r="C54" s="131">
        <f>SUMIF('04a_PROPUESTA_MO'!$R$9:$R$42,'07a_ATC'!A54,'04a_PROPUESTA_MO'!$AH$9:$AH$42)</f>
        <v>5562.2636057221716</v>
      </c>
      <c r="D54" s="131">
        <f>SUMIF('04a_PROPUESTA_MO'!$R$9:$R$42,'07a_ATC'!A54,'04a_PROPUESTA_MO'!$AI$9:$AI$42)</f>
        <v>6942.1096135623484</v>
      </c>
      <c r="E54" s="131">
        <f>SUMIF('04a_PROPUESTA_MO'!$R$9:$R$42,'07a_ATC'!A54,'04a_PROPUESTA_MO'!$AJ$9:$AJ$42)</f>
        <v>0</v>
      </c>
      <c r="F54" s="131">
        <f t="shared" si="10"/>
        <v>12504.37321928452</v>
      </c>
      <c r="G54" s="131">
        <f t="shared" si="11"/>
        <v>8585.5262072654805</v>
      </c>
      <c r="H54" s="159">
        <f>G54/$G$7</f>
        <v>0.1488685790807735</v>
      </c>
      <c r="I54" s="131">
        <f t="shared" si="12"/>
        <v>1905.1278876901943</v>
      </c>
      <c r="J54" s="131">
        <f>SUMIF('04a_PROPUESTA_MO'!$R$9:$R$42,'07a_ATC'!A54,'04a_PROPUESTA_MO'!$AN$9:$AN$42)</f>
        <v>6680.3983195752862</v>
      </c>
      <c r="K54" s="132">
        <f t="shared" si="13"/>
        <v>0.1520067259747494</v>
      </c>
      <c r="L54" s="131"/>
      <c r="M54" s="151">
        <f>SUM(M55:M61)</f>
        <v>214620.22999999989</v>
      </c>
      <c r="N54" s="151">
        <f t="shared" ref="N54:R54" si="50">SUM(N55:N61)</f>
        <v>6350.43</v>
      </c>
      <c r="O54" s="151">
        <f t="shared" si="50"/>
        <v>6855.65</v>
      </c>
      <c r="P54" s="151">
        <f t="shared" si="50"/>
        <v>6855.66</v>
      </c>
      <c r="Q54" s="151">
        <f t="shared" si="50"/>
        <v>6855.66</v>
      </c>
      <c r="R54" s="151">
        <f t="shared" si="50"/>
        <v>0</v>
      </c>
      <c r="S54" s="151">
        <f t="shared" ref="S54:AR54" si="51">SUM(S55:S61)</f>
        <v>6054.93</v>
      </c>
      <c r="T54" s="151">
        <f t="shared" si="51"/>
        <v>6054.93</v>
      </c>
      <c r="U54" s="151">
        <f t="shared" si="51"/>
        <v>6054.93</v>
      </c>
      <c r="V54" s="151">
        <f t="shared" si="51"/>
        <v>6054.93</v>
      </c>
      <c r="W54" s="151">
        <f t="shared" si="51"/>
        <v>6054.93</v>
      </c>
      <c r="X54" s="151">
        <f t="shared" si="51"/>
        <v>6054.93</v>
      </c>
      <c r="Y54" s="151">
        <f t="shared" si="51"/>
        <v>6054.93</v>
      </c>
      <c r="Z54" s="151">
        <f t="shared" si="51"/>
        <v>6054.93</v>
      </c>
      <c r="AA54" s="151">
        <f t="shared" si="51"/>
        <v>6054.93</v>
      </c>
      <c r="AB54" s="151">
        <f t="shared" si="51"/>
        <v>6054.93</v>
      </c>
      <c r="AC54" s="151">
        <f t="shared" si="51"/>
        <v>6054.93</v>
      </c>
      <c r="AD54" s="151">
        <f t="shared" si="51"/>
        <v>6054.93</v>
      </c>
      <c r="AE54" s="151">
        <f t="shared" si="51"/>
        <v>6054.93</v>
      </c>
      <c r="AF54" s="151">
        <f t="shared" si="51"/>
        <v>6054.93</v>
      </c>
      <c r="AG54" s="151">
        <f t="shared" si="51"/>
        <v>6054.93</v>
      </c>
      <c r="AH54" s="151">
        <f t="shared" si="51"/>
        <v>6054.93</v>
      </c>
      <c r="AI54" s="151">
        <f t="shared" si="51"/>
        <v>6054.93</v>
      </c>
      <c r="AJ54" s="151">
        <f t="shared" si="51"/>
        <v>6054.93</v>
      </c>
      <c r="AK54" s="151">
        <f t="shared" si="51"/>
        <v>6054.93</v>
      </c>
      <c r="AL54" s="151">
        <f t="shared" si="51"/>
        <v>6054.93</v>
      </c>
      <c r="AM54" s="151">
        <f t="shared" si="51"/>
        <v>6054.93</v>
      </c>
      <c r="AN54" s="151">
        <f t="shared" si="51"/>
        <v>6054.93</v>
      </c>
      <c r="AO54" s="151">
        <f t="shared" si="51"/>
        <v>6054.93</v>
      </c>
      <c r="AP54" s="151">
        <f t="shared" si="51"/>
        <v>6054.93</v>
      </c>
      <c r="AQ54" s="151">
        <f t="shared" si="51"/>
        <v>6054.93</v>
      </c>
      <c r="AR54" s="151">
        <f t="shared" si="51"/>
        <v>6054.93</v>
      </c>
      <c r="AS54" s="151">
        <f t="shared" ref="AS54:BF54" si="52">SUM(AS55:AS61)</f>
        <v>6054.93</v>
      </c>
      <c r="AT54" s="151">
        <f t="shared" si="52"/>
        <v>6054.93</v>
      </c>
      <c r="AU54" s="151">
        <f t="shared" si="52"/>
        <v>6054.93</v>
      </c>
      <c r="AV54" s="151">
        <f t="shared" si="52"/>
        <v>6054.93</v>
      </c>
      <c r="AW54" s="151">
        <f t="shared" si="52"/>
        <v>6054.93</v>
      </c>
      <c r="AX54" s="151">
        <f t="shared" si="52"/>
        <v>0</v>
      </c>
      <c r="AY54" s="151">
        <f t="shared" si="52"/>
        <v>0</v>
      </c>
      <c r="AZ54" s="151">
        <f t="shared" si="52"/>
        <v>0</v>
      </c>
      <c r="BA54" s="151">
        <f t="shared" si="52"/>
        <v>0</v>
      </c>
      <c r="BB54" s="151">
        <f t="shared" si="52"/>
        <v>0</v>
      </c>
      <c r="BC54" s="151">
        <f t="shared" si="52"/>
        <v>0</v>
      </c>
      <c r="BD54" s="151">
        <f t="shared" si="52"/>
        <v>0</v>
      </c>
      <c r="BE54" s="151">
        <f t="shared" si="52"/>
        <v>0</v>
      </c>
      <c r="BF54" s="151">
        <f t="shared" si="52"/>
        <v>0</v>
      </c>
    </row>
    <row r="55" spans="1:58">
      <c r="A55" s="130"/>
      <c r="B55" s="127"/>
      <c r="C55" s="127"/>
      <c r="D55" s="127"/>
      <c r="E55" s="127"/>
      <c r="F55" s="127"/>
      <c r="G55" s="127"/>
      <c r="H55" s="160"/>
      <c r="I55" s="127"/>
      <c r="J55" s="127"/>
      <c r="K55" s="135"/>
      <c r="L55" s="138" t="str">
        <f>'00_Datos_Mercado'!$B$3</f>
        <v xml:space="preserve">a_CS - Creativos </v>
      </c>
      <c r="M55" s="148">
        <f t="shared" ref="M55:M62" si="53">SUM(N55:BF55)</f>
        <v>5863.34</v>
      </c>
      <c r="N55" s="145">
        <v>2813.88</v>
      </c>
      <c r="O55" s="145">
        <v>3049.46</v>
      </c>
      <c r="P55" s="145">
        <v>0</v>
      </c>
      <c r="Q55" s="145">
        <v>0</v>
      </c>
      <c r="R55" s="145">
        <v>0</v>
      </c>
      <c r="S55" s="145">
        <v>0</v>
      </c>
      <c r="T55" s="145">
        <v>0</v>
      </c>
      <c r="U55" s="145">
        <v>0</v>
      </c>
      <c r="V55" s="145">
        <v>0</v>
      </c>
      <c r="W55" s="145">
        <v>0</v>
      </c>
      <c r="X55" s="145">
        <v>0</v>
      </c>
      <c r="Y55" s="145">
        <v>0</v>
      </c>
      <c r="Z55" s="145">
        <v>0</v>
      </c>
      <c r="AA55" s="145">
        <v>0</v>
      </c>
      <c r="AB55" s="145">
        <v>0</v>
      </c>
      <c r="AC55" s="145">
        <v>0</v>
      </c>
      <c r="AD55" s="145">
        <v>0</v>
      </c>
      <c r="AE55" s="145">
        <v>0</v>
      </c>
      <c r="AF55" s="145">
        <v>0</v>
      </c>
      <c r="AG55" s="145">
        <v>0</v>
      </c>
      <c r="AH55" s="145">
        <v>0</v>
      </c>
      <c r="AI55" s="145">
        <v>0</v>
      </c>
      <c r="AJ55" s="145">
        <v>0</v>
      </c>
      <c r="AK55" s="145">
        <v>0</v>
      </c>
      <c r="AL55" s="145">
        <v>0</v>
      </c>
      <c r="AM55" s="145">
        <v>0</v>
      </c>
      <c r="AN55" s="145">
        <v>0</v>
      </c>
      <c r="AO55" s="145">
        <v>0</v>
      </c>
      <c r="AP55" s="145">
        <v>0</v>
      </c>
      <c r="AQ55" s="145">
        <v>0</v>
      </c>
      <c r="AR55" s="145">
        <v>0</v>
      </c>
      <c r="AS55" s="145">
        <v>0</v>
      </c>
      <c r="AT55" s="145">
        <v>0</v>
      </c>
      <c r="AU55" s="145">
        <v>0</v>
      </c>
      <c r="AV55" s="145">
        <v>0</v>
      </c>
      <c r="AW55" s="145">
        <v>0</v>
      </c>
      <c r="AX55" s="145">
        <v>0</v>
      </c>
      <c r="AY55" s="145">
        <v>0</v>
      </c>
      <c r="AZ55" s="145">
        <v>0</v>
      </c>
      <c r="BA55" s="145">
        <v>0</v>
      </c>
      <c r="BB55" s="145">
        <v>0</v>
      </c>
      <c r="BC55" s="145">
        <v>0</v>
      </c>
      <c r="BD55" s="145">
        <v>0</v>
      </c>
      <c r="BE55" s="145">
        <v>0</v>
      </c>
      <c r="BF55" s="145">
        <v>0</v>
      </c>
    </row>
    <row r="56" spans="1:58">
      <c r="A56" s="130"/>
      <c r="B56" s="127"/>
      <c r="C56" s="127"/>
      <c r="D56" s="127"/>
      <c r="E56" s="127"/>
      <c r="F56" s="127"/>
      <c r="G56" s="127"/>
      <c r="H56" s="160"/>
      <c r="I56" s="127"/>
      <c r="J56" s="127"/>
      <c r="K56" s="135"/>
      <c r="L56" s="139" t="str">
        <f>'00_Datos_Mercado'!$B$4</f>
        <v>b_CS - General (Comercio + Oficinas + Hospedaje)</v>
      </c>
      <c r="M56" s="148">
        <f t="shared" si="53"/>
        <v>21054.059999999998</v>
      </c>
      <c r="N56" s="145">
        <v>3536.55</v>
      </c>
      <c r="O56" s="145">
        <v>3806.19</v>
      </c>
      <c r="P56" s="145">
        <v>6855.66</v>
      </c>
      <c r="Q56" s="145">
        <v>6855.66</v>
      </c>
      <c r="R56" s="145">
        <v>0</v>
      </c>
      <c r="S56" s="145">
        <v>0</v>
      </c>
      <c r="T56" s="145">
        <v>0</v>
      </c>
      <c r="U56" s="145">
        <v>0</v>
      </c>
      <c r="V56" s="145">
        <v>0</v>
      </c>
      <c r="W56" s="145">
        <v>0</v>
      </c>
      <c r="X56" s="145">
        <v>0</v>
      </c>
      <c r="Y56" s="145">
        <v>0</v>
      </c>
      <c r="Z56" s="145">
        <v>0</v>
      </c>
      <c r="AA56" s="145">
        <v>0</v>
      </c>
      <c r="AB56" s="145">
        <v>0</v>
      </c>
      <c r="AC56" s="145">
        <v>0</v>
      </c>
      <c r="AD56" s="145">
        <v>0</v>
      </c>
      <c r="AE56" s="145">
        <v>0</v>
      </c>
      <c r="AF56" s="145">
        <v>0</v>
      </c>
      <c r="AG56" s="145">
        <v>0</v>
      </c>
      <c r="AH56" s="145">
        <v>0</v>
      </c>
      <c r="AI56" s="145">
        <v>0</v>
      </c>
      <c r="AJ56" s="145">
        <v>0</v>
      </c>
      <c r="AK56" s="145">
        <v>0</v>
      </c>
      <c r="AL56" s="145">
        <v>0</v>
      </c>
      <c r="AM56" s="145">
        <v>0</v>
      </c>
      <c r="AN56" s="145">
        <v>0</v>
      </c>
      <c r="AO56" s="145">
        <v>0</v>
      </c>
      <c r="AP56" s="145">
        <v>0</v>
      </c>
      <c r="AQ56" s="145">
        <v>0</v>
      </c>
      <c r="AR56" s="145">
        <v>0</v>
      </c>
      <c r="AS56" s="145">
        <v>0</v>
      </c>
      <c r="AT56" s="145">
        <v>0</v>
      </c>
      <c r="AU56" s="145">
        <v>0</v>
      </c>
      <c r="AV56" s="145">
        <v>0</v>
      </c>
      <c r="AW56" s="145">
        <v>0</v>
      </c>
      <c r="AX56" s="145">
        <v>0</v>
      </c>
      <c r="AY56" s="145">
        <v>0</v>
      </c>
      <c r="AZ56" s="145">
        <v>0</v>
      </c>
      <c r="BA56" s="145">
        <v>0</v>
      </c>
      <c r="BB56" s="145">
        <v>0</v>
      </c>
      <c r="BC56" s="145">
        <v>0</v>
      </c>
      <c r="BD56" s="145">
        <v>0</v>
      </c>
      <c r="BE56" s="145">
        <v>0</v>
      </c>
      <c r="BF56" s="145">
        <v>0</v>
      </c>
    </row>
    <row r="57" spans="1:58">
      <c r="A57" s="130"/>
      <c r="B57" s="127"/>
      <c r="C57" s="127"/>
      <c r="D57" s="127"/>
      <c r="E57" s="127"/>
      <c r="F57" s="127"/>
      <c r="G57" s="127"/>
      <c r="H57" s="160"/>
      <c r="I57" s="127"/>
      <c r="J57" s="127"/>
      <c r="K57" s="135"/>
      <c r="L57" s="140" t="str">
        <f>'00_Datos_Mercado'!$B$5</f>
        <v>c_CS - Grandes Superficies</v>
      </c>
      <c r="M57" s="148">
        <f t="shared" si="53"/>
        <v>0</v>
      </c>
      <c r="N57" s="145">
        <v>0</v>
      </c>
      <c r="O57" s="145">
        <v>0</v>
      </c>
      <c r="P57" s="145">
        <v>0</v>
      </c>
      <c r="Q57" s="145">
        <v>0</v>
      </c>
      <c r="R57" s="145">
        <v>0</v>
      </c>
      <c r="S57" s="145">
        <v>0</v>
      </c>
      <c r="T57" s="145">
        <v>0</v>
      </c>
      <c r="U57" s="145">
        <v>0</v>
      </c>
      <c r="V57" s="145">
        <v>0</v>
      </c>
      <c r="W57" s="145">
        <v>0</v>
      </c>
      <c r="X57" s="145">
        <v>0</v>
      </c>
      <c r="Y57" s="145">
        <v>0</v>
      </c>
      <c r="Z57" s="145">
        <v>0</v>
      </c>
      <c r="AA57" s="145">
        <v>0</v>
      </c>
      <c r="AB57" s="145">
        <v>0</v>
      </c>
      <c r="AC57" s="145">
        <v>0</v>
      </c>
      <c r="AD57" s="145">
        <v>0</v>
      </c>
      <c r="AE57" s="145">
        <v>0</v>
      </c>
      <c r="AF57" s="145">
        <v>0</v>
      </c>
      <c r="AG57" s="145">
        <v>0</v>
      </c>
      <c r="AH57" s="145">
        <v>0</v>
      </c>
      <c r="AI57" s="145">
        <v>0</v>
      </c>
      <c r="AJ57" s="145">
        <v>0</v>
      </c>
      <c r="AK57" s="145">
        <v>0</v>
      </c>
      <c r="AL57" s="145">
        <v>0</v>
      </c>
      <c r="AM57" s="145">
        <v>0</v>
      </c>
      <c r="AN57" s="145">
        <v>0</v>
      </c>
      <c r="AO57" s="145">
        <v>0</v>
      </c>
      <c r="AP57" s="145">
        <v>0</v>
      </c>
      <c r="AQ57" s="145">
        <v>0</v>
      </c>
      <c r="AR57" s="145">
        <v>0</v>
      </c>
      <c r="AS57" s="145">
        <v>0</v>
      </c>
      <c r="AT57" s="145">
        <v>0</v>
      </c>
      <c r="AU57" s="145">
        <v>0</v>
      </c>
      <c r="AV57" s="145">
        <v>0</v>
      </c>
      <c r="AW57" s="145">
        <v>0</v>
      </c>
      <c r="AX57" s="145">
        <v>0</v>
      </c>
      <c r="AY57" s="145">
        <v>0</v>
      </c>
      <c r="AZ57" s="145">
        <v>0</v>
      </c>
      <c r="BA57" s="145">
        <v>0</v>
      </c>
      <c r="BB57" s="145">
        <v>0</v>
      </c>
      <c r="BC57" s="145">
        <v>0</v>
      </c>
      <c r="BD57" s="145">
        <v>0</v>
      </c>
      <c r="BE57" s="145">
        <v>0</v>
      </c>
      <c r="BF57" s="145">
        <v>0</v>
      </c>
    </row>
    <row r="58" spans="1:58">
      <c r="A58" s="130"/>
      <c r="B58" s="127"/>
      <c r="C58" s="127"/>
      <c r="D58" s="127"/>
      <c r="E58" s="127"/>
      <c r="F58" s="127"/>
      <c r="G58" s="127"/>
      <c r="H58" s="160"/>
      <c r="I58" s="127"/>
      <c r="J58" s="127"/>
      <c r="K58" s="135"/>
      <c r="L58" s="141" t="str">
        <f>'00_Datos_Mercado'!$B$6</f>
        <v>d_CS - Torre Empresarial (Oficinas + Hospedaje)</v>
      </c>
      <c r="M58" s="148">
        <f t="shared" si="53"/>
        <v>0</v>
      </c>
      <c r="N58" s="145">
        <v>0</v>
      </c>
      <c r="O58" s="145">
        <v>0</v>
      </c>
      <c r="P58" s="145">
        <v>0</v>
      </c>
      <c r="Q58" s="145">
        <v>0</v>
      </c>
      <c r="R58" s="145">
        <v>0</v>
      </c>
      <c r="S58" s="145">
        <v>0</v>
      </c>
      <c r="T58" s="145">
        <v>0</v>
      </c>
      <c r="U58" s="145">
        <v>0</v>
      </c>
      <c r="V58" s="145">
        <v>0</v>
      </c>
      <c r="W58" s="145">
        <v>0</v>
      </c>
      <c r="X58" s="145">
        <v>0</v>
      </c>
      <c r="Y58" s="145">
        <v>0</v>
      </c>
      <c r="Z58" s="145">
        <v>0</v>
      </c>
      <c r="AA58" s="145">
        <v>0</v>
      </c>
      <c r="AB58" s="145">
        <v>0</v>
      </c>
      <c r="AC58" s="145">
        <v>0</v>
      </c>
      <c r="AD58" s="145">
        <v>0</v>
      </c>
      <c r="AE58" s="145">
        <v>0</v>
      </c>
      <c r="AF58" s="145">
        <v>0</v>
      </c>
      <c r="AG58" s="145">
        <v>0</v>
      </c>
      <c r="AH58" s="145">
        <v>0</v>
      </c>
      <c r="AI58" s="145">
        <v>0</v>
      </c>
      <c r="AJ58" s="145">
        <v>0</v>
      </c>
      <c r="AK58" s="145">
        <v>0</v>
      </c>
      <c r="AL58" s="145">
        <v>0</v>
      </c>
      <c r="AM58" s="145">
        <v>0</v>
      </c>
      <c r="AN58" s="145">
        <v>0</v>
      </c>
      <c r="AO58" s="145">
        <v>0</v>
      </c>
      <c r="AP58" s="145">
        <v>0</v>
      </c>
      <c r="AQ58" s="145">
        <v>0</v>
      </c>
      <c r="AR58" s="145">
        <v>0</v>
      </c>
      <c r="AS58" s="145">
        <v>0</v>
      </c>
      <c r="AT58" s="145">
        <v>0</v>
      </c>
      <c r="AU58" s="145">
        <v>0</v>
      </c>
      <c r="AV58" s="145">
        <v>0</v>
      </c>
      <c r="AW58" s="145">
        <v>0</v>
      </c>
      <c r="AX58" s="145">
        <v>0</v>
      </c>
      <c r="AY58" s="145">
        <v>0</v>
      </c>
      <c r="AZ58" s="145">
        <v>0</v>
      </c>
      <c r="BA58" s="145">
        <v>0</v>
      </c>
      <c r="BB58" s="145">
        <v>0</v>
      </c>
      <c r="BC58" s="145">
        <v>0</v>
      </c>
      <c r="BD58" s="145">
        <v>0</v>
      </c>
      <c r="BE58" s="145">
        <v>0</v>
      </c>
      <c r="BF58" s="145">
        <v>0</v>
      </c>
    </row>
    <row r="59" spans="1:58">
      <c r="A59" s="130"/>
      <c r="B59" s="127"/>
      <c r="C59" s="127"/>
      <c r="D59" s="127"/>
      <c r="E59" s="127"/>
      <c r="F59" s="127"/>
      <c r="G59" s="127"/>
      <c r="H59" s="160"/>
      <c r="I59" s="127"/>
      <c r="J59" s="127"/>
      <c r="K59" s="135"/>
      <c r="L59" s="142" t="str">
        <f>'00_Datos_Mercado'!$B$7</f>
        <v>e_CS - Innovation (H, CS, Gamers)</v>
      </c>
      <c r="M59" s="148">
        <f t="shared" si="53"/>
        <v>0</v>
      </c>
      <c r="N59" s="145">
        <v>0</v>
      </c>
      <c r="O59" s="145">
        <v>0</v>
      </c>
      <c r="P59" s="145">
        <v>0</v>
      </c>
      <c r="Q59" s="145">
        <v>0</v>
      </c>
      <c r="R59" s="145">
        <v>0</v>
      </c>
      <c r="S59" s="145">
        <v>0</v>
      </c>
      <c r="T59" s="145">
        <v>0</v>
      </c>
      <c r="U59" s="145">
        <v>0</v>
      </c>
      <c r="V59" s="145">
        <v>0</v>
      </c>
      <c r="W59" s="145">
        <v>0</v>
      </c>
      <c r="X59" s="145">
        <v>0</v>
      </c>
      <c r="Y59" s="145">
        <v>0</v>
      </c>
      <c r="Z59" s="145">
        <v>0</v>
      </c>
      <c r="AA59" s="145">
        <v>0</v>
      </c>
      <c r="AB59" s="145">
        <v>0</v>
      </c>
      <c r="AC59" s="145">
        <v>0</v>
      </c>
      <c r="AD59" s="145">
        <v>0</v>
      </c>
      <c r="AE59" s="145">
        <v>0</v>
      </c>
      <c r="AF59" s="145">
        <v>0</v>
      </c>
      <c r="AG59" s="145">
        <v>0</v>
      </c>
      <c r="AH59" s="145">
        <v>0</v>
      </c>
      <c r="AI59" s="145">
        <v>0</v>
      </c>
      <c r="AJ59" s="145">
        <v>0</v>
      </c>
      <c r="AK59" s="145">
        <v>0</v>
      </c>
      <c r="AL59" s="145">
        <v>0</v>
      </c>
      <c r="AM59" s="145">
        <v>0</v>
      </c>
      <c r="AN59" s="145">
        <v>0</v>
      </c>
      <c r="AO59" s="145">
        <v>0</v>
      </c>
      <c r="AP59" s="145">
        <v>0</v>
      </c>
      <c r="AQ59" s="145">
        <v>0</v>
      </c>
      <c r="AR59" s="145">
        <v>0</v>
      </c>
      <c r="AS59" s="145">
        <v>0</v>
      </c>
      <c r="AT59" s="145">
        <v>0</v>
      </c>
      <c r="AU59" s="145">
        <v>0</v>
      </c>
      <c r="AV59" s="145">
        <v>0</v>
      </c>
      <c r="AW59" s="145">
        <v>0</v>
      </c>
      <c r="AX59" s="145">
        <v>0</v>
      </c>
      <c r="AY59" s="145">
        <v>0</v>
      </c>
      <c r="AZ59" s="145">
        <v>0</v>
      </c>
      <c r="BA59" s="145">
        <v>0</v>
      </c>
      <c r="BB59" s="145">
        <v>0</v>
      </c>
      <c r="BC59" s="145">
        <v>0</v>
      </c>
      <c r="BD59" s="145">
        <v>0</v>
      </c>
      <c r="BE59" s="145">
        <v>0</v>
      </c>
      <c r="BF59" s="145">
        <v>0</v>
      </c>
    </row>
    <row r="60" spans="1:58">
      <c r="A60" s="130"/>
      <c r="B60" s="127"/>
      <c r="C60" s="127"/>
      <c r="D60" s="127"/>
      <c r="E60" s="127"/>
      <c r="F60" s="127"/>
      <c r="G60" s="127"/>
      <c r="H60" s="160"/>
      <c r="I60" s="127"/>
      <c r="J60" s="127"/>
      <c r="K60" s="135"/>
      <c r="L60" s="144" t="str">
        <f>'00_Datos_Mercado'!$B$8</f>
        <v xml:space="preserve">f_RES - VIS Ru </v>
      </c>
      <c r="M60" s="148">
        <f t="shared" si="53"/>
        <v>24219.72</v>
      </c>
      <c r="N60" s="145">
        <v>0</v>
      </c>
      <c r="O60" s="145">
        <v>0</v>
      </c>
      <c r="P60" s="145">
        <v>0</v>
      </c>
      <c r="Q60" s="145">
        <v>0</v>
      </c>
      <c r="R60" s="145">
        <v>0</v>
      </c>
      <c r="S60" s="145">
        <v>6054.93</v>
      </c>
      <c r="T60" s="145">
        <v>6054.93</v>
      </c>
      <c r="U60" s="145">
        <v>6054.93</v>
      </c>
      <c r="V60" s="145">
        <v>6054.93</v>
      </c>
      <c r="W60" s="145">
        <v>0</v>
      </c>
      <c r="X60" s="145">
        <v>0</v>
      </c>
      <c r="Y60" s="145">
        <v>0</v>
      </c>
      <c r="Z60" s="145">
        <v>0</v>
      </c>
      <c r="AA60" s="145">
        <v>0</v>
      </c>
      <c r="AB60" s="145">
        <v>0</v>
      </c>
      <c r="AC60" s="145">
        <v>0</v>
      </c>
      <c r="AD60" s="145">
        <v>0</v>
      </c>
      <c r="AE60" s="145">
        <v>0</v>
      </c>
      <c r="AF60" s="145">
        <v>0</v>
      </c>
      <c r="AG60" s="145">
        <v>0</v>
      </c>
      <c r="AH60" s="145">
        <v>0</v>
      </c>
      <c r="AI60" s="145">
        <v>0</v>
      </c>
      <c r="AJ60" s="145">
        <v>0</v>
      </c>
      <c r="AK60" s="145">
        <v>0</v>
      </c>
      <c r="AL60" s="145">
        <v>0</v>
      </c>
      <c r="AM60" s="145">
        <v>0</v>
      </c>
      <c r="AN60" s="145">
        <v>0</v>
      </c>
      <c r="AO60" s="145">
        <v>0</v>
      </c>
      <c r="AP60" s="145">
        <v>0</v>
      </c>
      <c r="AQ60" s="145">
        <v>0</v>
      </c>
      <c r="AR60" s="145">
        <v>0</v>
      </c>
      <c r="AS60" s="145">
        <v>0</v>
      </c>
      <c r="AT60" s="145">
        <v>0</v>
      </c>
      <c r="AU60" s="145">
        <v>0</v>
      </c>
      <c r="AV60" s="145">
        <v>0</v>
      </c>
      <c r="AW60" s="145">
        <v>0</v>
      </c>
      <c r="AX60" s="145">
        <v>0</v>
      </c>
      <c r="AY60" s="145">
        <v>0</v>
      </c>
      <c r="AZ60" s="145">
        <v>0</v>
      </c>
      <c r="BA60" s="145">
        <v>0</v>
      </c>
      <c r="BB60" s="145">
        <v>0</v>
      </c>
      <c r="BC60" s="145">
        <v>0</v>
      </c>
      <c r="BD60" s="145">
        <v>0</v>
      </c>
      <c r="BE60" s="145">
        <v>0</v>
      </c>
      <c r="BF60" s="145">
        <v>0</v>
      </c>
    </row>
    <row r="61" spans="1:58">
      <c r="A61" s="130"/>
      <c r="B61" s="127"/>
      <c r="C61" s="127"/>
      <c r="D61" s="127"/>
      <c r="E61" s="127"/>
      <c r="F61" s="127"/>
      <c r="G61" s="127"/>
      <c r="H61" s="160"/>
      <c r="I61" s="127"/>
      <c r="J61" s="127"/>
      <c r="K61" s="135"/>
      <c r="L61" s="143" t="str">
        <f>'00_Datos_Mercado'!$B$10</f>
        <v>i_RES - No VIS</v>
      </c>
      <c r="M61" s="148">
        <f t="shared" si="53"/>
        <v>163483.1099999999</v>
      </c>
      <c r="N61" s="145">
        <v>0</v>
      </c>
      <c r="O61" s="145">
        <v>0</v>
      </c>
      <c r="P61" s="145">
        <v>0</v>
      </c>
      <c r="Q61" s="145">
        <v>0</v>
      </c>
      <c r="R61" s="145">
        <v>0</v>
      </c>
      <c r="S61" s="145">
        <v>0</v>
      </c>
      <c r="T61" s="145">
        <v>0</v>
      </c>
      <c r="U61" s="145">
        <v>0</v>
      </c>
      <c r="V61" s="145">
        <v>0</v>
      </c>
      <c r="W61" s="145">
        <v>6054.93</v>
      </c>
      <c r="X61" s="145">
        <v>6054.93</v>
      </c>
      <c r="Y61" s="145">
        <v>6054.93</v>
      </c>
      <c r="Z61" s="145">
        <v>6054.93</v>
      </c>
      <c r="AA61" s="145">
        <v>6054.93</v>
      </c>
      <c r="AB61" s="145">
        <v>6054.93</v>
      </c>
      <c r="AC61" s="145">
        <v>6054.93</v>
      </c>
      <c r="AD61" s="145">
        <v>6054.93</v>
      </c>
      <c r="AE61" s="145">
        <v>6054.93</v>
      </c>
      <c r="AF61" s="145">
        <v>6054.93</v>
      </c>
      <c r="AG61" s="145">
        <v>6054.93</v>
      </c>
      <c r="AH61" s="145">
        <v>6054.93</v>
      </c>
      <c r="AI61" s="145">
        <v>6054.93</v>
      </c>
      <c r="AJ61" s="145">
        <v>6054.93</v>
      </c>
      <c r="AK61" s="145">
        <v>6054.93</v>
      </c>
      <c r="AL61" s="145">
        <v>6054.93</v>
      </c>
      <c r="AM61" s="145">
        <v>6054.93</v>
      </c>
      <c r="AN61" s="145">
        <v>6054.93</v>
      </c>
      <c r="AO61" s="145">
        <v>6054.93</v>
      </c>
      <c r="AP61" s="145">
        <v>6054.93</v>
      </c>
      <c r="AQ61" s="145">
        <v>6054.93</v>
      </c>
      <c r="AR61" s="145">
        <v>6054.93</v>
      </c>
      <c r="AS61" s="145">
        <v>6054.93</v>
      </c>
      <c r="AT61" s="145">
        <v>6054.93</v>
      </c>
      <c r="AU61" s="145">
        <v>6054.93</v>
      </c>
      <c r="AV61" s="145">
        <v>6054.93</v>
      </c>
      <c r="AW61" s="145">
        <v>6054.93</v>
      </c>
      <c r="AX61" s="145">
        <v>0</v>
      </c>
      <c r="AY61" s="145">
        <v>0</v>
      </c>
      <c r="AZ61" s="145">
        <v>0</v>
      </c>
      <c r="BA61" s="145">
        <v>0</v>
      </c>
      <c r="BB61" s="145">
        <v>0</v>
      </c>
      <c r="BC61" s="145">
        <v>0</v>
      </c>
      <c r="BD61" s="145">
        <v>0</v>
      </c>
      <c r="BE61" s="145">
        <v>0</v>
      </c>
      <c r="BF61" s="145">
        <v>0</v>
      </c>
    </row>
    <row r="62" spans="1:58">
      <c r="A62" s="130"/>
      <c r="B62" s="127"/>
      <c r="C62" s="127"/>
      <c r="D62" s="127"/>
      <c r="E62" s="127"/>
      <c r="F62" s="127"/>
      <c r="G62" s="127"/>
      <c r="H62" s="160"/>
      <c r="I62" s="127"/>
      <c r="J62" s="127"/>
      <c r="K62" s="135"/>
      <c r="L62" s="264" t="s">
        <v>697</v>
      </c>
      <c r="M62" s="264">
        <f t="shared" si="53"/>
        <v>12109.86</v>
      </c>
      <c r="N62" s="265">
        <v>0</v>
      </c>
      <c r="O62" s="265">
        <v>0</v>
      </c>
      <c r="P62" s="265">
        <v>0</v>
      </c>
      <c r="Q62" s="265">
        <v>0</v>
      </c>
      <c r="R62" s="265">
        <v>6054.93</v>
      </c>
      <c r="S62" s="265">
        <v>0</v>
      </c>
      <c r="T62" s="265">
        <v>0</v>
      </c>
      <c r="U62" s="265">
        <v>0</v>
      </c>
      <c r="V62" s="265">
        <v>0</v>
      </c>
      <c r="W62" s="265">
        <v>0</v>
      </c>
      <c r="X62" s="265">
        <v>0</v>
      </c>
      <c r="Y62" s="265">
        <v>0</v>
      </c>
      <c r="Z62" s="265">
        <v>0</v>
      </c>
      <c r="AA62" s="265">
        <v>0</v>
      </c>
      <c r="AB62" s="265">
        <v>0</v>
      </c>
      <c r="AC62" s="265">
        <v>0</v>
      </c>
      <c r="AD62" s="265">
        <v>0</v>
      </c>
      <c r="AE62" s="265">
        <v>0</v>
      </c>
      <c r="AF62" s="265">
        <v>0</v>
      </c>
      <c r="AG62" s="265">
        <v>0</v>
      </c>
      <c r="AH62" s="265">
        <v>0</v>
      </c>
      <c r="AI62" s="265">
        <v>0</v>
      </c>
      <c r="AJ62" s="265">
        <v>0</v>
      </c>
      <c r="AK62" s="265">
        <v>0</v>
      </c>
      <c r="AL62" s="265">
        <v>0</v>
      </c>
      <c r="AM62" s="265">
        <v>0</v>
      </c>
      <c r="AN62" s="265">
        <v>0</v>
      </c>
      <c r="AO62" s="265">
        <v>0</v>
      </c>
      <c r="AP62" s="265">
        <v>0</v>
      </c>
      <c r="AQ62" s="265">
        <v>0</v>
      </c>
      <c r="AR62" s="265">
        <v>0</v>
      </c>
      <c r="AS62" s="265">
        <v>0</v>
      </c>
      <c r="AT62" s="265">
        <v>0</v>
      </c>
      <c r="AU62" s="265">
        <v>0</v>
      </c>
      <c r="AV62" s="265">
        <v>0</v>
      </c>
      <c r="AW62" s="265">
        <v>0</v>
      </c>
      <c r="AX62" s="265">
        <v>6054.93</v>
      </c>
      <c r="AY62" s="265">
        <v>0</v>
      </c>
      <c r="AZ62" s="265">
        <v>0</v>
      </c>
      <c r="BA62" s="265">
        <v>0</v>
      </c>
      <c r="BB62" s="265">
        <v>0</v>
      </c>
      <c r="BC62" s="265">
        <v>0</v>
      </c>
      <c r="BD62" s="265">
        <v>0</v>
      </c>
      <c r="BE62" s="265">
        <v>0</v>
      </c>
      <c r="BF62" s="265">
        <v>0</v>
      </c>
    </row>
    <row r="63" spans="1:58" s="134" customFormat="1">
      <c r="A63" s="130">
        <v>7</v>
      </c>
      <c r="B63" s="131">
        <f>SUMIF('04a_PROPUESTA_MO'!$R$9:$R$42,'07a_ATC'!A63,'04a_PROPUESTA_MO'!$T$9:$T$42)</f>
        <v>23967.619699999999</v>
      </c>
      <c r="C63" s="131">
        <f>SUMIF('04a_PROPUESTA_MO'!$R$9:$R$42,'07a_ATC'!A63,'04a_PROPUESTA_MO'!$AH$9:$AH$42)</f>
        <v>3251.2337344159237</v>
      </c>
      <c r="D63" s="131">
        <f>SUMIF('04a_PROPUESTA_MO'!$R$9:$R$42,'07a_ATC'!A63,'04a_PROPUESTA_MO'!$AI$9:$AI$42)</f>
        <v>11010.760040763742</v>
      </c>
      <c r="E63" s="131">
        <f>SUMIF('04a_PROPUESTA_MO'!$R$9:$R$42,'07a_ATC'!A63,'04a_PROPUESTA_MO'!$AJ$9:$AJ$42)</f>
        <v>2456.7635053029921</v>
      </c>
      <c r="F63" s="131">
        <f t="shared" si="10"/>
        <v>16718.75728048266</v>
      </c>
      <c r="G63" s="131">
        <f t="shared" si="11"/>
        <v>7248.8624195173397</v>
      </c>
      <c r="H63" s="159">
        <f>G63/$G$7</f>
        <v>0.12569152108956988</v>
      </c>
      <c r="I63" s="131">
        <f t="shared" si="12"/>
        <v>983.66140280594755</v>
      </c>
      <c r="J63" s="131">
        <f>SUMIF('04a_PROPUESTA_MO'!$R$9:$R$42,'07a_ATC'!A63,'04a_PROPUESTA_MO'!$AN$9:$AN$42)</f>
        <v>6265.2010167113922</v>
      </c>
      <c r="K63" s="132">
        <f t="shared" si="13"/>
        <v>0.14255926796061419</v>
      </c>
      <c r="L63" s="131"/>
      <c r="M63" s="151">
        <f>SUM(M64:M70)</f>
        <v>138244.36999999994</v>
      </c>
      <c r="N63" s="151">
        <f t="shared" ref="N63:AR63" si="54">SUM(N64:N70)</f>
        <v>5710.13</v>
      </c>
      <c r="O63" s="151">
        <f t="shared" si="54"/>
        <v>6031.65</v>
      </c>
      <c r="P63" s="151">
        <f t="shared" si="54"/>
        <v>6031.65</v>
      </c>
      <c r="Q63" s="151">
        <f t="shared" si="54"/>
        <v>6031.65</v>
      </c>
      <c r="R63" s="151">
        <f t="shared" si="54"/>
        <v>0</v>
      </c>
      <c r="S63" s="151">
        <f t="shared" si="54"/>
        <v>3691.59</v>
      </c>
      <c r="T63" s="151">
        <f t="shared" si="54"/>
        <v>3691.59</v>
      </c>
      <c r="U63" s="151">
        <f t="shared" si="54"/>
        <v>3691.59</v>
      </c>
      <c r="V63" s="151">
        <f t="shared" si="54"/>
        <v>3691.59</v>
      </c>
      <c r="W63" s="151">
        <f t="shared" si="54"/>
        <v>3691.59</v>
      </c>
      <c r="X63" s="151">
        <f t="shared" si="54"/>
        <v>3691.59</v>
      </c>
      <c r="Y63" s="151">
        <f t="shared" si="54"/>
        <v>3691.59</v>
      </c>
      <c r="Z63" s="151">
        <f t="shared" si="54"/>
        <v>3691.59</v>
      </c>
      <c r="AA63" s="151">
        <f t="shared" si="54"/>
        <v>3691.59</v>
      </c>
      <c r="AB63" s="151">
        <f t="shared" si="54"/>
        <v>3691.59</v>
      </c>
      <c r="AC63" s="151">
        <f t="shared" si="54"/>
        <v>3691.59</v>
      </c>
      <c r="AD63" s="151">
        <f t="shared" si="54"/>
        <v>3691.59</v>
      </c>
      <c r="AE63" s="151">
        <f t="shared" si="54"/>
        <v>3691.59</v>
      </c>
      <c r="AF63" s="151">
        <f t="shared" si="54"/>
        <v>3691.59</v>
      </c>
      <c r="AG63" s="151">
        <f t="shared" si="54"/>
        <v>3691.59</v>
      </c>
      <c r="AH63" s="151">
        <f t="shared" si="54"/>
        <v>3691.59</v>
      </c>
      <c r="AI63" s="151">
        <f t="shared" si="54"/>
        <v>3691.59</v>
      </c>
      <c r="AJ63" s="151">
        <f t="shared" si="54"/>
        <v>3691.59</v>
      </c>
      <c r="AK63" s="151">
        <f t="shared" si="54"/>
        <v>3691.59</v>
      </c>
      <c r="AL63" s="151">
        <f t="shared" si="54"/>
        <v>3691.59</v>
      </c>
      <c r="AM63" s="151">
        <f t="shared" si="54"/>
        <v>3691.59</v>
      </c>
      <c r="AN63" s="151">
        <f t="shared" si="54"/>
        <v>3691.59</v>
      </c>
      <c r="AO63" s="151">
        <f t="shared" si="54"/>
        <v>3691.59</v>
      </c>
      <c r="AP63" s="151">
        <f t="shared" si="54"/>
        <v>3691.59</v>
      </c>
      <c r="AQ63" s="151">
        <f t="shared" si="54"/>
        <v>3691.59</v>
      </c>
      <c r="AR63" s="151">
        <f t="shared" si="54"/>
        <v>3691.59</v>
      </c>
      <c r="AS63" s="151">
        <f t="shared" ref="AS63" si="55">SUM(AS64:AS70)</f>
        <v>3691.59</v>
      </c>
      <c r="AT63" s="151">
        <f t="shared" ref="AT63" si="56">SUM(AT64:AT70)</f>
        <v>3691.59</v>
      </c>
      <c r="AU63" s="151">
        <f t="shared" ref="AU63" si="57">SUM(AU64:AU70)</f>
        <v>3691.59</v>
      </c>
      <c r="AV63" s="151">
        <f t="shared" ref="AV63" si="58">SUM(AV64:AV70)</f>
        <v>3691.59</v>
      </c>
      <c r="AW63" s="151">
        <f t="shared" ref="AW63" si="59">SUM(AW64:AW70)</f>
        <v>3691.59</v>
      </c>
      <c r="AX63" s="151">
        <f t="shared" ref="AX63" si="60">SUM(AX64:AX70)</f>
        <v>0</v>
      </c>
      <c r="AY63" s="151">
        <f t="shared" ref="AY63:BF63" si="61">SUM(AY64:AY70)</f>
        <v>0</v>
      </c>
      <c r="AZ63" s="151">
        <f t="shared" si="61"/>
        <v>0</v>
      </c>
      <c r="BA63" s="151">
        <f t="shared" si="61"/>
        <v>0</v>
      </c>
      <c r="BB63" s="151">
        <f t="shared" si="61"/>
        <v>0</v>
      </c>
      <c r="BC63" s="151">
        <f t="shared" si="61"/>
        <v>0</v>
      </c>
      <c r="BD63" s="151">
        <f t="shared" si="61"/>
        <v>0</v>
      </c>
      <c r="BE63" s="151">
        <f t="shared" si="61"/>
        <v>0</v>
      </c>
      <c r="BF63" s="151">
        <f t="shared" si="61"/>
        <v>0</v>
      </c>
    </row>
    <row r="64" spans="1:58">
      <c r="A64" s="130"/>
      <c r="B64" s="127"/>
      <c r="C64" s="127"/>
      <c r="D64" s="127"/>
      <c r="E64" s="127"/>
      <c r="F64" s="127"/>
      <c r="G64" s="127"/>
      <c r="H64" s="160"/>
      <c r="I64" s="127"/>
      <c r="J64" s="127"/>
      <c r="K64" s="135"/>
      <c r="L64" s="138" t="str">
        <f>'00_Datos_Mercado'!$B$3</f>
        <v xml:space="preserve">a_CS - Creativos </v>
      </c>
      <c r="M64" s="148">
        <f t="shared" ref="M64:M71" si="62">SUM(N64:BF64)</f>
        <v>11741.779999999999</v>
      </c>
      <c r="N64" s="145">
        <v>5710.13</v>
      </c>
      <c r="O64" s="145">
        <v>6031.65</v>
      </c>
      <c r="P64" s="145">
        <v>0</v>
      </c>
      <c r="Q64" s="145">
        <v>0</v>
      </c>
      <c r="R64" s="145">
        <v>0</v>
      </c>
      <c r="S64" s="145">
        <v>0</v>
      </c>
      <c r="T64" s="145">
        <v>0</v>
      </c>
      <c r="U64" s="145">
        <v>0</v>
      </c>
      <c r="V64" s="145">
        <v>0</v>
      </c>
      <c r="W64" s="145">
        <v>0</v>
      </c>
      <c r="X64" s="145">
        <v>0</v>
      </c>
      <c r="Y64" s="145">
        <v>0</v>
      </c>
      <c r="Z64" s="145">
        <v>0</v>
      </c>
      <c r="AA64" s="145">
        <v>0</v>
      </c>
      <c r="AB64" s="145">
        <v>0</v>
      </c>
      <c r="AC64" s="145">
        <v>0</v>
      </c>
      <c r="AD64" s="145">
        <v>0</v>
      </c>
      <c r="AE64" s="145">
        <v>0</v>
      </c>
      <c r="AF64" s="145">
        <v>0</v>
      </c>
      <c r="AG64" s="145">
        <v>0</v>
      </c>
      <c r="AH64" s="145">
        <v>0</v>
      </c>
      <c r="AI64" s="145">
        <v>0</v>
      </c>
      <c r="AJ64" s="145">
        <v>0</v>
      </c>
      <c r="AK64" s="145">
        <v>0</v>
      </c>
      <c r="AL64" s="145">
        <v>0</v>
      </c>
      <c r="AM64" s="145">
        <v>0</v>
      </c>
      <c r="AN64" s="145">
        <v>0</v>
      </c>
      <c r="AO64" s="145">
        <v>0</v>
      </c>
      <c r="AP64" s="145">
        <v>0</v>
      </c>
      <c r="AQ64" s="145">
        <v>0</v>
      </c>
      <c r="AR64" s="145">
        <v>0</v>
      </c>
      <c r="AS64" s="145">
        <v>0</v>
      </c>
      <c r="AT64" s="145">
        <v>0</v>
      </c>
      <c r="AU64" s="145">
        <v>0</v>
      </c>
      <c r="AV64" s="145">
        <v>0</v>
      </c>
      <c r="AW64" s="145">
        <v>0</v>
      </c>
      <c r="AX64" s="145">
        <v>0</v>
      </c>
      <c r="AY64" s="145">
        <v>0</v>
      </c>
      <c r="AZ64" s="145">
        <v>0</v>
      </c>
      <c r="BA64" s="145">
        <v>0</v>
      </c>
      <c r="BB64" s="145">
        <v>0</v>
      </c>
      <c r="BC64" s="145">
        <v>0</v>
      </c>
      <c r="BD64" s="145">
        <v>0</v>
      </c>
      <c r="BE64" s="145">
        <v>0</v>
      </c>
      <c r="BF64" s="145">
        <v>0</v>
      </c>
    </row>
    <row r="65" spans="1:58">
      <c r="A65" s="130"/>
      <c r="B65" s="127"/>
      <c r="C65" s="127"/>
      <c r="D65" s="127"/>
      <c r="E65" s="127"/>
      <c r="F65" s="127"/>
      <c r="G65" s="127"/>
      <c r="H65" s="160"/>
      <c r="I65" s="127"/>
      <c r="J65" s="127"/>
      <c r="K65" s="135"/>
      <c r="L65" s="139" t="str">
        <f>'00_Datos_Mercado'!$B$4</f>
        <v>b_CS - General (Comercio + Oficinas + Hospedaje)</v>
      </c>
      <c r="M65" s="148">
        <f t="shared" si="62"/>
        <v>12063.3</v>
      </c>
      <c r="N65" s="145">
        <v>0</v>
      </c>
      <c r="O65" s="145">
        <v>0</v>
      </c>
      <c r="P65" s="145">
        <v>6031.65</v>
      </c>
      <c r="Q65" s="145">
        <v>6031.65</v>
      </c>
      <c r="S65" s="145">
        <v>0</v>
      </c>
      <c r="T65" s="145">
        <v>0</v>
      </c>
      <c r="U65" s="145">
        <v>0</v>
      </c>
      <c r="V65" s="145">
        <v>0</v>
      </c>
      <c r="W65" s="145">
        <v>0</v>
      </c>
      <c r="X65" s="145">
        <v>0</v>
      </c>
      <c r="Y65" s="145">
        <v>0</v>
      </c>
      <c r="Z65" s="145">
        <v>0</v>
      </c>
      <c r="AA65" s="145">
        <v>0</v>
      </c>
      <c r="AB65" s="145">
        <v>0</v>
      </c>
      <c r="AC65" s="145">
        <v>0</v>
      </c>
      <c r="AD65" s="145">
        <v>0</v>
      </c>
      <c r="AE65" s="145">
        <v>0</v>
      </c>
      <c r="AF65" s="145">
        <v>0</v>
      </c>
      <c r="AG65" s="145">
        <v>0</v>
      </c>
      <c r="AH65" s="145">
        <v>0</v>
      </c>
      <c r="AI65" s="145">
        <v>0</v>
      </c>
      <c r="AJ65" s="145">
        <v>0</v>
      </c>
      <c r="AK65" s="145">
        <v>0</v>
      </c>
      <c r="AL65" s="145">
        <v>0</v>
      </c>
      <c r="AM65" s="145">
        <v>0</v>
      </c>
      <c r="AN65" s="145">
        <v>0</v>
      </c>
      <c r="AO65" s="145">
        <v>0</v>
      </c>
      <c r="AP65" s="145">
        <v>0</v>
      </c>
      <c r="AQ65" s="145">
        <v>0</v>
      </c>
      <c r="AR65" s="145">
        <v>0</v>
      </c>
      <c r="AS65" s="145">
        <v>0</v>
      </c>
      <c r="AT65" s="145">
        <v>0</v>
      </c>
      <c r="AU65" s="145">
        <v>0</v>
      </c>
      <c r="AV65" s="145">
        <v>0</v>
      </c>
      <c r="AW65" s="145">
        <v>0</v>
      </c>
      <c r="AX65" s="145">
        <v>0</v>
      </c>
      <c r="AY65" s="145">
        <v>0</v>
      </c>
      <c r="AZ65" s="145">
        <v>0</v>
      </c>
      <c r="BA65" s="145">
        <v>0</v>
      </c>
      <c r="BB65" s="145">
        <v>0</v>
      </c>
      <c r="BC65" s="145">
        <v>0</v>
      </c>
      <c r="BD65" s="145">
        <v>0</v>
      </c>
      <c r="BE65" s="145">
        <v>0</v>
      </c>
      <c r="BF65" s="145">
        <v>0</v>
      </c>
    </row>
    <row r="66" spans="1:58">
      <c r="A66" s="130"/>
      <c r="B66" s="127"/>
      <c r="C66" s="127"/>
      <c r="D66" s="127"/>
      <c r="E66" s="127"/>
      <c r="F66" s="127"/>
      <c r="G66" s="127"/>
      <c r="H66" s="160"/>
      <c r="I66" s="127"/>
      <c r="J66" s="127"/>
      <c r="K66" s="135"/>
      <c r="L66" s="140" t="str">
        <f>'00_Datos_Mercado'!$B$5</f>
        <v>c_CS - Grandes Superficies</v>
      </c>
      <c r="M66" s="148">
        <f t="shared" si="62"/>
        <v>0</v>
      </c>
      <c r="N66" s="145">
        <v>0</v>
      </c>
      <c r="O66" s="145">
        <v>0</v>
      </c>
      <c r="P66" s="145">
        <v>0</v>
      </c>
      <c r="Q66" s="145">
        <v>0</v>
      </c>
      <c r="R66" s="145">
        <v>0</v>
      </c>
      <c r="S66" s="145">
        <v>0</v>
      </c>
      <c r="T66" s="145">
        <v>0</v>
      </c>
      <c r="U66" s="145">
        <v>0</v>
      </c>
      <c r="V66" s="145">
        <v>0</v>
      </c>
      <c r="W66" s="145">
        <v>0</v>
      </c>
      <c r="X66" s="145">
        <v>0</v>
      </c>
      <c r="Y66" s="145">
        <v>0</v>
      </c>
      <c r="Z66" s="145">
        <v>0</v>
      </c>
      <c r="AA66" s="145">
        <v>0</v>
      </c>
      <c r="AB66" s="145">
        <v>0</v>
      </c>
      <c r="AC66" s="145">
        <v>0</v>
      </c>
      <c r="AD66" s="145">
        <v>0</v>
      </c>
      <c r="AE66" s="145">
        <v>0</v>
      </c>
      <c r="AF66" s="145">
        <v>0</v>
      </c>
      <c r="AG66" s="145">
        <v>0</v>
      </c>
      <c r="AH66" s="145">
        <v>0</v>
      </c>
      <c r="AI66" s="145">
        <v>0</v>
      </c>
      <c r="AJ66" s="145">
        <v>0</v>
      </c>
      <c r="AK66" s="145">
        <v>0</v>
      </c>
      <c r="AL66" s="145">
        <v>0</v>
      </c>
      <c r="AM66" s="145">
        <v>0</v>
      </c>
      <c r="AN66" s="145">
        <v>0</v>
      </c>
      <c r="AO66" s="145">
        <v>0</v>
      </c>
      <c r="AP66" s="145">
        <v>0</v>
      </c>
      <c r="AQ66" s="145">
        <v>0</v>
      </c>
      <c r="AR66" s="145">
        <v>0</v>
      </c>
      <c r="AS66" s="145">
        <v>0</v>
      </c>
      <c r="AT66" s="145">
        <v>0</v>
      </c>
      <c r="AU66" s="145">
        <v>0</v>
      </c>
      <c r="AV66" s="145">
        <v>0</v>
      </c>
      <c r="AW66" s="145">
        <v>0</v>
      </c>
      <c r="AX66" s="145">
        <v>0</v>
      </c>
      <c r="AY66" s="145">
        <v>0</v>
      </c>
      <c r="AZ66" s="145">
        <v>0</v>
      </c>
      <c r="BA66" s="145">
        <v>0</v>
      </c>
      <c r="BB66" s="145">
        <v>0</v>
      </c>
      <c r="BC66" s="145">
        <v>0</v>
      </c>
      <c r="BD66" s="145">
        <v>0</v>
      </c>
      <c r="BE66" s="145">
        <v>0</v>
      </c>
      <c r="BF66" s="145">
        <v>0</v>
      </c>
    </row>
    <row r="67" spans="1:58">
      <c r="A67" s="130"/>
      <c r="B67" s="127"/>
      <c r="C67" s="127"/>
      <c r="D67" s="127"/>
      <c r="E67" s="127"/>
      <c r="F67" s="127"/>
      <c r="G67" s="127"/>
      <c r="H67" s="160"/>
      <c r="I67" s="127"/>
      <c r="J67" s="127"/>
      <c r="K67" s="135"/>
      <c r="L67" s="141" t="str">
        <f>'00_Datos_Mercado'!$B$6</f>
        <v>d_CS - Torre Empresarial (Oficinas + Hospedaje)</v>
      </c>
      <c r="M67" s="148">
        <f t="shared" si="62"/>
        <v>0</v>
      </c>
      <c r="N67" s="145">
        <v>0</v>
      </c>
      <c r="O67" s="145">
        <v>0</v>
      </c>
      <c r="P67" s="145">
        <v>0</v>
      </c>
      <c r="Q67" s="145">
        <v>0</v>
      </c>
      <c r="R67" s="145">
        <v>0</v>
      </c>
      <c r="S67" s="145">
        <v>0</v>
      </c>
      <c r="T67" s="145">
        <v>0</v>
      </c>
      <c r="U67" s="145">
        <v>0</v>
      </c>
      <c r="V67" s="145">
        <v>0</v>
      </c>
      <c r="W67" s="145">
        <v>0</v>
      </c>
      <c r="X67" s="145">
        <v>0</v>
      </c>
      <c r="Y67" s="145">
        <v>0</v>
      </c>
      <c r="Z67" s="145">
        <v>0</v>
      </c>
      <c r="AA67" s="145">
        <v>0</v>
      </c>
      <c r="AB67" s="145">
        <v>0</v>
      </c>
      <c r="AC67" s="145">
        <v>0</v>
      </c>
      <c r="AD67" s="145">
        <v>0</v>
      </c>
      <c r="AE67" s="145">
        <v>0</v>
      </c>
      <c r="AF67" s="145">
        <v>0</v>
      </c>
      <c r="AG67" s="145">
        <v>0</v>
      </c>
      <c r="AH67" s="145">
        <v>0</v>
      </c>
      <c r="AI67" s="145">
        <v>0</v>
      </c>
      <c r="AJ67" s="145">
        <v>0</v>
      </c>
      <c r="AK67" s="145">
        <v>0</v>
      </c>
      <c r="AL67" s="145">
        <v>0</v>
      </c>
      <c r="AM67" s="145">
        <v>0</v>
      </c>
      <c r="AN67" s="145">
        <v>0</v>
      </c>
      <c r="AO67" s="145">
        <v>0</v>
      </c>
      <c r="AP67" s="145">
        <v>0</v>
      </c>
      <c r="AQ67" s="145">
        <v>0</v>
      </c>
      <c r="AR67" s="145">
        <v>0</v>
      </c>
      <c r="AS67" s="145">
        <v>0</v>
      </c>
      <c r="AT67" s="145">
        <v>0</v>
      </c>
      <c r="AU67" s="145">
        <v>0</v>
      </c>
      <c r="AV67" s="145">
        <v>0</v>
      </c>
      <c r="AW67" s="145">
        <v>0</v>
      </c>
      <c r="AX67" s="145">
        <v>0</v>
      </c>
      <c r="AY67" s="145">
        <v>0</v>
      </c>
      <c r="AZ67" s="145">
        <v>0</v>
      </c>
      <c r="BA67" s="145">
        <v>0</v>
      </c>
      <c r="BB67" s="145">
        <v>0</v>
      </c>
      <c r="BC67" s="145">
        <v>0</v>
      </c>
      <c r="BD67" s="145">
        <v>0</v>
      </c>
      <c r="BE67" s="145">
        <v>0</v>
      </c>
      <c r="BF67" s="145">
        <v>0</v>
      </c>
    </row>
    <row r="68" spans="1:58">
      <c r="A68" s="130"/>
      <c r="B68" s="127"/>
      <c r="C68" s="127"/>
      <c r="D68" s="127"/>
      <c r="E68" s="127"/>
      <c r="F68" s="127"/>
      <c r="G68" s="127"/>
      <c r="H68" s="160"/>
      <c r="I68" s="127"/>
      <c r="J68" s="127"/>
      <c r="K68" s="135"/>
      <c r="L68" s="142" t="str">
        <f>'00_Datos_Mercado'!$B$7</f>
        <v>e_CS - Innovation (H, CS, Gamers)</v>
      </c>
      <c r="M68" s="148">
        <f t="shared" si="62"/>
        <v>0</v>
      </c>
      <c r="N68" s="145">
        <v>0</v>
      </c>
      <c r="O68" s="145">
        <v>0</v>
      </c>
      <c r="P68" s="145">
        <v>0</v>
      </c>
      <c r="Q68" s="145">
        <v>0</v>
      </c>
      <c r="R68" s="145">
        <v>0</v>
      </c>
      <c r="S68" s="145">
        <v>0</v>
      </c>
      <c r="T68" s="145">
        <v>0</v>
      </c>
      <c r="U68" s="145">
        <v>0</v>
      </c>
      <c r="V68" s="145">
        <v>0</v>
      </c>
      <c r="W68" s="145">
        <v>0</v>
      </c>
      <c r="X68" s="145">
        <v>0</v>
      </c>
      <c r="Y68" s="145">
        <v>0</v>
      </c>
      <c r="Z68" s="145">
        <v>0</v>
      </c>
      <c r="AA68" s="145">
        <v>0</v>
      </c>
      <c r="AB68" s="145">
        <v>0</v>
      </c>
      <c r="AC68" s="145">
        <v>0</v>
      </c>
      <c r="AD68" s="145">
        <v>0</v>
      </c>
      <c r="AE68" s="145">
        <v>0</v>
      </c>
      <c r="AF68" s="145">
        <v>0</v>
      </c>
      <c r="AG68" s="145">
        <v>0</v>
      </c>
      <c r="AH68" s="145">
        <v>0</v>
      </c>
      <c r="AI68" s="145">
        <v>0</v>
      </c>
      <c r="AJ68" s="145">
        <v>0</v>
      </c>
      <c r="AK68" s="145">
        <v>0</v>
      </c>
      <c r="AL68" s="145">
        <v>0</v>
      </c>
      <c r="AM68" s="145">
        <v>0</v>
      </c>
      <c r="AN68" s="145">
        <v>0</v>
      </c>
      <c r="AO68" s="145">
        <v>0</v>
      </c>
      <c r="AP68" s="145">
        <v>0</v>
      </c>
      <c r="AQ68" s="145">
        <v>0</v>
      </c>
      <c r="AR68" s="145">
        <v>0</v>
      </c>
      <c r="AS68" s="145">
        <v>0</v>
      </c>
      <c r="AT68" s="145">
        <v>0</v>
      </c>
      <c r="AU68" s="145">
        <v>0</v>
      </c>
      <c r="AV68" s="145">
        <v>0</v>
      </c>
      <c r="AW68" s="145">
        <v>0</v>
      </c>
      <c r="AX68" s="145">
        <v>0</v>
      </c>
      <c r="AY68" s="145">
        <v>0</v>
      </c>
      <c r="AZ68" s="145">
        <v>0</v>
      </c>
      <c r="BA68" s="145">
        <v>0</v>
      </c>
      <c r="BB68" s="145">
        <v>0</v>
      </c>
      <c r="BC68" s="145">
        <v>0</v>
      </c>
      <c r="BD68" s="145">
        <v>0</v>
      </c>
      <c r="BE68" s="145">
        <v>0</v>
      </c>
      <c r="BF68" s="145">
        <v>0</v>
      </c>
    </row>
    <row r="69" spans="1:58">
      <c r="A69" s="130"/>
      <c r="B69" s="127"/>
      <c r="C69" s="127"/>
      <c r="D69" s="127"/>
      <c r="E69" s="127"/>
      <c r="F69" s="127"/>
      <c r="G69" s="127"/>
      <c r="H69" s="160"/>
      <c r="I69" s="127"/>
      <c r="J69" s="127"/>
      <c r="K69" s="135"/>
      <c r="L69" s="144" t="str">
        <f>'00_Datos_Mercado'!$B$8</f>
        <v xml:space="preserve">f_RES - VIS Ru </v>
      </c>
      <c r="M69" s="148">
        <f t="shared" si="62"/>
        <v>14766.36</v>
      </c>
      <c r="N69" s="145">
        <v>0</v>
      </c>
      <c r="O69" s="145">
        <v>0</v>
      </c>
      <c r="P69" s="145">
        <v>0</v>
      </c>
      <c r="Q69" s="145">
        <v>0</v>
      </c>
      <c r="R69" s="145">
        <v>0</v>
      </c>
      <c r="S69" s="145">
        <v>3691.59</v>
      </c>
      <c r="T69" s="145">
        <v>3691.59</v>
      </c>
      <c r="U69" s="145">
        <v>3691.59</v>
      </c>
      <c r="V69" s="145">
        <v>3691.59</v>
      </c>
      <c r="W69" s="145">
        <v>0</v>
      </c>
      <c r="X69" s="145">
        <v>0</v>
      </c>
      <c r="Y69" s="145">
        <v>0</v>
      </c>
      <c r="Z69" s="145">
        <v>0</v>
      </c>
      <c r="AA69" s="145">
        <v>0</v>
      </c>
      <c r="AB69" s="145">
        <v>0</v>
      </c>
      <c r="AC69" s="145">
        <v>0</v>
      </c>
      <c r="AD69" s="145">
        <v>0</v>
      </c>
      <c r="AE69" s="145">
        <v>0</v>
      </c>
      <c r="AF69" s="145">
        <v>0</v>
      </c>
      <c r="AG69" s="145">
        <v>0</v>
      </c>
      <c r="AH69" s="145">
        <v>0</v>
      </c>
      <c r="AI69" s="145">
        <v>0</v>
      </c>
      <c r="AJ69" s="145">
        <v>0</v>
      </c>
      <c r="AK69" s="145">
        <v>0</v>
      </c>
      <c r="AL69" s="145">
        <v>0</v>
      </c>
      <c r="AM69" s="145">
        <v>0</v>
      </c>
      <c r="AN69" s="145">
        <v>0</v>
      </c>
      <c r="AO69" s="145">
        <v>0</v>
      </c>
      <c r="AP69" s="145">
        <v>0</v>
      </c>
      <c r="AQ69" s="145">
        <v>0</v>
      </c>
      <c r="AR69" s="145">
        <v>0</v>
      </c>
      <c r="AS69" s="145">
        <v>0</v>
      </c>
      <c r="AT69" s="145">
        <v>0</v>
      </c>
      <c r="AU69" s="145">
        <v>0</v>
      </c>
      <c r="AV69" s="145">
        <v>0</v>
      </c>
      <c r="AW69" s="145">
        <v>0</v>
      </c>
      <c r="AX69" s="145">
        <v>0</v>
      </c>
      <c r="AY69" s="145">
        <v>0</v>
      </c>
      <c r="AZ69" s="145">
        <v>0</v>
      </c>
      <c r="BA69" s="145">
        <v>0</v>
      </c>
      <c r="BB69" s="145">
        <v>0</v>
      </c>
      <c r="BC69" s="145">
        <v>0</v>
      </c>
      <c r="BD69" s="145">
        <v>0</v>
      </c>
      <c r="BE69" s="145">
        <v>0</v>
      </c>
      <c r="BF69" s="145">
        <v>0</v>
      </c>
    </row>
    <row r="70" spans="1:58">
      <c r="A70" s="130"/>
      <c r="B70" s="127"/>
      <c r="C70" s="127"/>
      <c r="D70" s="127"/>
      <c r="E70" s="127"/>
      <c r="F70" s="127"/>
      <c r="G70" s="127"/>
      <c r="H70" s="160"/>
      <c r="I70" s="127"/>
      <c r="J70" s="127"/>
      <c r="K70" s="135"/>
      <c r="L70" s="143" t="str">
        <f>'00_Datos_Mercado'!$B$10</f>
        <v>i_RES - No VIS</v>
      </c>
      <c r="M70" s="148">
        <f t="shared" si="62"/>
        <v>99672.929999999935</v>
      </c>
      <c r="N70" s="145">
        <v>0</v>
      </c>
      <c r="O70" s="145">
        <v>0</v>
      </c>
      <c r="P70" s="145">
        <v>0</v>
      </c>
      <c r="Q70" s="145">
        <v>0</v>
      </c>
      <c r="R70" s="145">
        <v>0</v>
      </c>
      <c r="S70" s="145">
        <v>0</v>
      </c>
      <c r="T70" s="145">
        <v>0</v>
      </c>
      <c r="U70" s="145">
        <v>0</v>
      </c>
      <c r="V70" s="145">
        <v>0</v>
      </c>
      <c r="W70" s="145">
        <v>3691.59</v>
      </c>
      <c r="X70" s="145">
        <v>3691.59</v>
      </c>
      <c r="Y70" s="145">
        <v>3691.59</v>
      </c>
      <c r="Z70" s="145">
        <v>3691.59</v>
      </c>
      <c r="AA70" s="145">
        <v>3691.59</v>
      </c>
      <c r="AB70" s="145">
        <v>3691.59</v>
      </c>
      <c r="AC70" s="145">
        <v>3691.59</v>
      </c>
      <c r="AD70" s="145">
        <v>3691.59</v>
      </c>
      <c r="AE70" s="145">
        <v>3691.59</v>
      </c>
      <c r="AF70" s="145">
        <v>3691.59</v>
      </c>
      <c r="AG70" s="145">
        <v>3691.59</v>
      </c>
      <c r="AH70" s="145">
        <v>3691.59</v>
      </c>
      <c r="AI70" s="145">
        <v>3691.59</v>
      </c>
      <c r="AJ70" s="145">
        <v>3691.59</v>
      </c>
      <c r="AK70" s="145">
        <v>3691.59</v>
      </c>
      <c r="AL70" s="145">
        <v>3691.59</v>
      </c>
      <c r="AM70" s="145">
        <v>3691.59</v>
      </c>
      <c r="AN70" s="145">
        <v>3691.59</v>
      </c>
      <c r="AO70" s="145">
        <v>3691.59</v>
      </c>
      <c r="AP70" s="145">
        <v>3691.59</v>
      </c>
      <c r="AQ70" s="145">
        <v>3691.59</v>
      </c>
      <c r="AR70" s="145">
        <v>3691.59</v>
      </c>
      <c r="AS70" s="145">
        <v>3691.59</v>
      </c>
      <c r="AT70" s="145">
        <v>3691.59</v>
      </c>
      <c r="AU70" s="145">
        <v>3691.59</v>
      </c>
      <c r="AV70" s="145">
        <v>3691.59</v>
      </c>
      <c r="AW70" s="145">
        <v>3691.59</v>
      </c>
      <c r="AX70" s="145">
        <v>0</v>
      </c>
      <c r="AY70" s="145">
        <v>0</v>
      </c>
      <c r="AZ70" s="145">
        <v>0</v>
      </c>
      <c r="BA70" s="145">
        <v>0</v>
      </c>
      <c r="BB70" s="145">
        <v>0</v>
      </c>
      <c r="BC70" s="145">
        <v>0</v>
      </c>
      <c r="BD70" s="145">
        <v>0</v>
      </c>
      <c r="BE70" s="145">
        <v>0</v>
      </c>
      <c r="BF70" s="145">
        <v>0</v>
      </c>
    </row>
    <row r="71" spans="1:58">
      <c r="A71" s="130"/>
      <c r="B71" s="127"/>
      <c r="C71" s="127"/>
      <c r="D71" s="127"/>
      <c r="E71" s="127"/>
      <c r="F71" s="127"/>
      <c r="G71" s="127"/>
      <c r="H71" s="160"/>
      <c r="I71" s="127"/>
      <c r="J71" s="127"/>
      <c r="K71" s="135"/>
      <c r="L71" s="264" t="s">
        <v>697</v>
      </c>
      <c r="M71" s="264">
        <f t="shared" si="62"/>
        <v>7383.18</v>
      </c>
      <c r="N71" s="265">
        <v>0</v>
      </c>
      <c r="O71" s="265">
        <v>0</v>
      </c>
      <c r="P71" s="265">
        <v>0</v>
      </c>
      <c r="Q71" s="265">
        <v>0</v>
      </c>
      <c r="R71" s="265">
        <v>3691.59</v>
      </c>
      <c r="S71" s="265">
        <v>0</v>
      </c>
      <c r="T71" s="265">
        <v>0</v>
      </c>
      <c r="U71" s="265">
        <v>0</v>
      </c>
      <c r="V71" s="265">
        <v>0</v>
      </c>
      <c r="W71" s="265">
        <v>0</v>
      </c>
      <c r="X71" s="265">
        <v>0</v>
      </c>
      <c r="Y71" s="265">
        <v>0</v>
      </c>
      <c r="Z71" s="265">
        <v>0</v>
      </c>
      <c r="AA71" s="265">
        <v>0</v>
      </c>
      <c r="AB71" s="265">
        <v>0</v>
      </c>
      <c r="AC71" s="265">
        <v>0</v>
      </c>
      <c r="AD71" s="265">
        <v>0</v>
      </c>
      <c r="AE71" s="265">
        <v>0</v>
      </c>
      <c r="AF71" s="265">
        <v>0</v>
      </c>
      <c r="AG71" s="265">
        <v>0</v>
      </c>
      <c r="AH71" s="265">
        <v>0</v>
      </c>
      <c r="AI71" s="265">
        <v>0</v>
      </c>
      <c r="AJ71" s="265">
        <v>0</v>
      </c>
      <c r="AK71" s="265">
        <v>0</v>
      </c>
      <c r="AL71" s="265">
        <v>0</v>
      </c>
      <c r="AM71" s="265">
        <v>0</v>
      </c>
      <c r="AN71" s="265">
        <v>0</v>
      </c>
      <c r="AO71" s="265">
        <v>0</v>
      </c>
      <c r="AP71" s="265">
        <v>0</v>
      </c>
      <c r="AQ71" s="265">
        <v>0</v>
      </c>
      <c r="AR71" s="265">
        <v>0</v>
      </c>
      <c r="AS71" s="265">
        <v>0</v>
      </c>
      <c r="AT71" s="265">
        <v>0</v>
      </c>
      <c r="AU71" s="265">
        <v>0</v>
      </c>
      <c r="AV71" s="265">
        <v>0</v>
      </c>
      <c r="AW71" s="265">
        <v>0</v>
      </c>
      <c r="AX71" s="265">
        <v>3691.59</v>
      </c>
      <c r="AY71" s="266">
        <v>0</v>
      </c>
      <c r="AZ71" s="265">
        <v>0</v>
      </c>
      <c r="BA71" s="265">
        <v>0</v>
      </c>
      <c r="BB71" s="265">
        <v>0</v>
      </c>
      <c r="BC71" s="265">
        <v>0</v>
      </c>
      <c r="BD71" s="265">
        <v>0</v>
      </c>
      <c r="BE71" s="265">
        <v>0</v>
      </c>
      <c r="BF71" s="265">
        <v>0</v>
      </c>
    </row>
    <row r="72" spans="1:58" s="134" customFormat="1">
      <c r="A72" s="130">
        <v>8</v>
      </c>
      <c r="B72" s="131">
        <f>SUMIF('04a_PROPUESTA_MO'!$R$9:$R$42,'07a_ATC'!A72,'04a_PROPUESTA_MO'!$T$9:$T$42)</f>
        <v>14752.6990159</v>
      </c>
      <c r="C72" s="131">
        <f>SUMIF('04a_PROPUESTA_MO'!$R$9:$R$42,'07a_ATC'!A72,'04a_PROPUESTA_MO'!$AH$9:$AH$42)</f>
        <v>2656.3461894238176</v>
      </c>
      <c r="D72" s="131">
        <f>SUMIF('04a_PROPUESTA_MO'!$R$9:$R$42,'07a_ATC'!A72,'04a_PROPUESTA_MO'!$AI$9:$AI$42)</f>
        <v>7315.9371761083858</v>
      </c>
      <c r="E72" s="131">
        <f>SUMIF('04a_PROPUESTA_MO'!$R$9:$R$42,'07a_ATC'!A72,'04a_PROPUESTA_MO'!$AJ$9:$AJ$42)</f>
        <v>0</v>
      </c>
      <c r="F72" s="131">
        <f t="shared" si="10"/>
        <v>9972.2833655322029</v>
      </c>
      <c r="G72" s="131">
        <f t="shared" si="11"/>
        <v>4780.4156503677968</v>
      </c>
      <c r="H72" s="159">
        <f>G72/$G$7</f>
        <v>8.2889932207476161E-2</v>
      </c>
      <c r="I72" s="131">
        <f t="shared" si="12"/>
        <v>1355.267661338411</v>
      </c>
      <c r="J72" s="131">
        <f>SUMIF('04a_PROPUESTA_MO'!$R$9:$R$42,'07a_ATC'!A72,'04a_PROPUESTA_MO'!$AN$9:$AN$42)</f>
        <v>3425.1479890293858</v>
      </c>
      <c r="K72" s="132">
        <f t="shared" si="13"/>
        <v>7.7936300634309244E-2</v>
      </c>
      <c r="L72" s="131"/>
      <c r="M72" s="151">
        <f>SUM(M73:M79)</f>
        <v>111874.70999999995</v>
      </c>
      <c r="N72" s="151">
        <f t="shared" ref="N72:AR72" si="63">SUM(N73:N79)</f>
        <v>3150.69</v>
      </c>
      <c r="O72" s="151">
        <f t="shared" si="63"/>
        <v>3504.72</v>
      </c>
      <c r="P72" s="151">
        <f t="shared" si="63"/>
        <v>3504.72</v>
      </c>
      <c r="Q72" s="151">
        <f t="shared" si="63"/>
        <v>3504.72</v>
      </c>
      <c r="R72" s="151">
        <f t="shared" si="63"/>
        <v>0</v>
      </c>
      <c r="S72" s="151">
        <f t="shared" si="63"/>
        <v>3168.06</v>
      </c>
      <c r="T72" s="151">
        <f t="shared" si="63"/>
        <v>3168.06</v>
      </c>
      <c r="U72" s="151">
        <f t="shared" si="63"/>
        <v>3168.06</v>
      </c>
      <c r="V72" s="151">
        <f t="shared" si="63"/>
        <v>3168.06</v>
      </c>
      <c r="W72" s="151">
        <f t="shared" si="63"/>
        <v>3168.06</v>
      </c>
      <c r="X72" s="151">
        <f t="shared" si="63"/>
        <v>3168.06</v>
      </c>
      <c r="Y72" s="151">
        <f t="shared" si="63"/>
        <v>3168.06</v>
      </c>
      <c r="Z72" s="151">
        <f t="shared" si="63"/>
        <v>3168.06</v>
      </c>
      <c r="AA72" s="151">
        <f t="shared" si="63"/>
        <v>3168.06</v>
      </c>
      <c r="AB72" s="151">
        <f t="shared" si="63"/>
        <v>3168.06</v>
      </c>
      <c r="AC72" s="151">
        <f t="shared" si="63"/>
        <v>3168.06</v>
      </c>
      <c r="AD72" s="151">
        <f t="shared" si="63"/>
        <v>3168.06</v>
      </c>
      <c r="AE72" s="151">
        <f t="shared" si="63"/>
        <v>3168.06</v>
      </c>
      <c r="AF72" s="151">
        <f t="shared" si="63"/>
        <v>3168.06</v>
      </c>
      <c r="AG72" s="151">
        <f t="shared" si="63"/>
        <v>3168.06</v>
      </c>
      <c r="AH72" s="151">
        <f t="shared" si="63"/>
        <v>3168.06</v>
      </c>
      <c r="AI72" s="151">
        <f t="shared" si="63"/>
        <v>3168.06</v>
      </c>
      <c r="AJ72" s="151">
        <f t="shared" si="63"/>
        <v>3168.06</v>
      </c>
      <c r="AK72" s="151">
        <f t="shared" si="63"/>
        <v>3168.06</v>
      </c>
      <c r="AL72" s="151">
        <f t="shared" si="63"/>
        <v>3168.06</v>
      </c>
      <c r="AM72" s="151">
        <f t="shared" si="63"/>
        <v>3168.06</v>
      </c>
      <c r="AN72" s="151">
        <f t="shared" si="63"/>
        <v>3168.06</v>
      </c>
      <c r="AO72" s="151">
        <f t="shared" si="63"/>
        <v>3168.06</v>
      </c>
      <c r="AP72" s="151">
        <f t="shared" si="63"/>
        <v>3168.06</v>
      </c>
      <c r="AQ72" s="151">
        <f t="shared" si="63"/>
        <v>3168.06</v>
      </c>
      <c r="AR72" s="151">
        <f t="shared" si="63"/>
        <v>3168.06</v>
      </c>
      <c r="AS72" s="151">
        <f t="shared" ref="AS72" si="64">SUM(AS73:AS79)</f>
        <v>3168.06</v>
      </c>
      <c r="AT72" s="151">
        <f t="shared" ref="AT72" si="65">SUM(AT73:AT79)</f>
        <v>3168.06</v>
      </c>
      <c r="AU72" s="151">
        <f t="shared" ref="AU72" si="66">SUM(AU73:AU79)</f>
        <v>3168.06</v>
      </c>
      <c r="AV72" s="151">
        <f t="shared" ref="AV72" si="67">SUM(AV73:AV79)</f>
        <v>3168.06</v>
      </c>
      <c r="AW72" s="151">
        <f t="shared" ref="AW72" si="68">SUM(AW73:AW79)</f>
        <v>3168.06</v>
      </c>
      <c r="AX72" s="151">
        <f t="shared" ref="AX72" si="69">SUM(AX73:AX79)</f>
        <v>0</v>
      </c>
      <c r="AY72" s="151">
        <f t="shared" ref="AY72:BF72" si="70">SUM(AY73:AY79)</f>
        <v>0</v>
      </c>
      <c r="AZ72" s="151">
        <f t="shared" si="70"/>
        <v>0</v>
      </c>
      <c r="BA72" s="151">
        <f t="shared" si="70"/>
        <v>0</v>
      </c>
      <c r="BB72" s="151">
        <f t="shared" si="70"/>
        <v>0</v>
      </c>
      <c r="BC72" s="151">
        <f t="shared" si="70"/>
        <v>0</v>
      </c>
      <c r="BD72" s="151">
        <f t="shared" si="70"/>
        <v>0</v>
      </c>
      <c r="BE72" s="151">
        <f t="shared" si="70"/>
        <v>0</v>
      </c>
      <c r="BF72" s="151">
        <f t="shared" si="70"/>
        <v>0</v>
      </c>
    </row>
    <row r="73" spans="1:58">
      <c r="L73" s="138" t="str">
        <f>'00_Datos_Mercado'!$B$3</f>
        <v xml:space="preserve">a_CS - Creativos </v>
      </c>
      <c r="M73" s="148">
        <f t="shared" ref="M73:M80" si="71">SUM(N73:BF73)</f>
        <v>0</v>
      </c>
      <c r="N73" s="145">
        <v>0</v>
      </c>
      <c r="O73" s="145">
        <v>0</v>
      </c>
      <c r="P73" s="145">
        <v>0</v>
      </c>
      <c r="Q73" s="145">
        <v>0</v>
      </c>
      <c r="R73" s="145">
        <v>0</v>
      </c>
      <c r="S73" s="145">
        <v>0</v>
      </c>
      <c r="T73" s="145">
        <v>0</v>
      </c>
      <c r="U73" s="145">
        <v>0</v>
      </c>
      <c r="V73" s="145">
        <v>0</v>
      </c>
      <c r="W73" s="145">
        <v>0</v>
      </c>
      <c r="X73" s="145">
        <v>0</v>
      </c>
      <c r="Y73" s="145">
        <v>0</v>
      </c>
      <c r="Z73" s="145">
        <v>0</v>
      </c>
      <c r="AA73" s="145">
        <v>0</v>
      </c>
      <c r="AB73" s="145">
        <v>0</v>
      </c>
      <c r="AC73" s="145">
        <v>0</v>
      </c>
      <c r="AD73" s="145">
        <v>0</v>
      </c>
      <c r="AE73" s="145">
        <v>0</v>
      </c>
      <c r="AF73" s="145">
        <v>0</v>
      </c>
      <c r="AG73" s="145">
        <v>0</v>
      </c>
      <c r="AH73" s="145">
        <v>0</v>
      </c>
      <c r="AI73" s="145">
        <v>0</v>
      </c>
      <c r="AJ73" s="145">
        <v>0</v>
      </c>
      <c r="AK73" s="145">
        <v>0</v>
      </c>
      <c r="AL73" s="145">
        <v>0</v>
      </c>
      <c r="AM73" s="145">
        <v>0</v>
      </c>
      <c r="AN73" s="145">
        <v>0</v>
      </c>
      <c r="AO73" s="145">
        <v>0</v>
      </c>
      <c r="AP73" s="145">
        <v>0</v>
      </c>
      <c r="AQ73" s="145">
        <v>0</v>
      </c>
      <c r="AR73" s="145">
        <v>0</v>
      </c>
      <c r="AS73" s="145">
        <v>0</v>
      </c>
      <c r="AT73" s="145">
        <v>0</v>
      </c>
      <c r="AU73" s="145">
        <v>0</v>
      </c>
      <c r="AV73" s="145">
        <v>0</v>
      </c>
      <c r="AW73" s="145">
        <v>0</v>
      </c>
      <c r="AX73" s="145">
        <v>0</v>
      </c>
      <c r="AY73" s="145">
        <v>0</v>
      </c>
      <c r="AZ73" s="145">
        <v>0</v>
      </c>
      <c r="BA73" s="145">
        <v>0</v>
      </c>
      <c r="BB73" s="145">
        <v>0</v>
      </c>
      <c r="BC73" s="145">
        <v>0</v>
      </c>
      <c r="BD73" s="145">
        <v>0</v>
      </c>
      <c r="BE73" s="145">
        <v>0</v>
      </c>
      <c r="BF73" s="145">
        <v>0</v>
      </c>
    </row>
    <row r="74" spans="1:58">
      <c r="F74" s="136"/>
      <c r="L74" s="139" t="str">
        <f>'00_Datos_Mercado'!$B$4</f>
        <v>b_CS - General (Comercio + Oficinas + Hospedaje)</v>
      </c>
      <c r="M74" s="148">
        <f t="shared" si="71"/>
        <v>0</v>
      </c>
      <c r="N74" s="145">
        <v>0</v>
      </c>
      <c r="O74" s="145">
        <v>0</v>
      </c>
      <c r="P74" s="145">
        <v>0</v>
      </c>
      <c r="Q74" s="145">
        <v>0</v>
      </c>
      <c r="R74" s="145">
        <v>0</v>
      </c>
      <c r="S74" s="145">
        <v>0</v>
      </c>
      <c r="T74" s="145">
        <v>0</v>
      </c>
      <c r="U74" s="145">
        <v>0</v>
      </c>
      <c r="V74" s="145">
        <v>0</v>
      </c>
      <c r="W74" s="145">
        <v>0</v>
      </c>
      <c r="X74" s="145">
        <v>0</v>
      </c>
      <c r="Y74" s="145">
        <v>0</v>
      </c>
      <c r="Z74" s="145">
        <v>0</v>
      </c>
      <c r="AA74" s="145">
        <v>0</v>
      </c>
      <c r="AB74" s="145">
        <v>0</v>
      </c>
      <c r="AC74" s="145">
        <v>0</v>
      </c>
      <c r="AD74" s="145">
        <v>0</v>
      </c>
      <c r="AE74" s="145">
        <v>0</v>
      </c>
      <c r="AF74" s="145">
        <v>0</v>
      </c>
      <c r="AG74" s="145">
        <v>0</v>
      </c>
      <c r="AH74" s="145">
        <v>0</v>
      </c>
      <c r="AI74" s="145">
        <v>0</v>
      </c>
      <c r="AJ74" s="145">
        <v>0</v>
      </c>
      <c r="AK74" s="145">
        <v>0</v>
      </c>
      <c r="AL74" s="145">
        <v>0</v>
      </c>
      <c r="AM74" s="145">
        <v>0</v>
      </c>
      <c r="AN74" s="145">
        <v>0</v>
      </c>
      <c r="AO74" s="145">
        <v>0</v>
      </c>
      <c r="AP74" s="145">
        <v>0</v>
      </c>
      <c r="AQ74" s="145">
        <v>0</v>
      </c>
      <c r="AR74" s="145">
        <v>0</v>
      </c>
      <c r="AS74" s="145">
        <v>0</v>
      </c>
      <c r="AT74" s="145">
        <v>0</v>
      </c>
      <c r="AU74" s="145">
        <v>0</v>
      </c>
      <c r="AV74" s="145">
        <v>0</v>
      </c>
      <c r="AW74" s="145">
        <v>0</v>
      </c>
      <c r="AX74" s="145">
        <v>0</v>
      </c>
      <c r="AY74" s="145">
        <v>0</v>
      </c>
      <c r="AZ74" s="145">
        <v>0</v>
      </c>
      <c r="BA74" s="145">
        <v>0</v>
      </c>
      <c r="BB74" s="145">
        <v>0</v>
      </c>
      <c r="BC74" s="145">
        <v>0</v>
      </c>
      <c r="BD74" s="145">
        <v>0</v>
      </c>
      <c r="BE74" s="145">
        <v>0</v>
      </c>
      <c r="BF74" s="145">
        <v>0</v>
      </c>
    </row>
    <row r="75" spans="1:58">
      <c r="D75" s="137"/>
      <c r="L75" s="140" t="str">
        <f>'00_Datos_Mercado'!$B$5</f>
        <v>c_CS - Grandes Superficies</v>
      </c>
      <c r="M75" s="148">
        <f t="shared" si="71"/>
        <v>0</v>
      </c>
      <c r="N75" s="145">
        <v>0</v>
      </c>
      <c r="O75" s="145">
        <v>0</v>
      </c>
      <c r="P75" s="145">
        <v>0</v>
      </c>
      <c r="Q75" s="145">
        <v>0</v>
      </c>
      <c r="R75" s="145">
        <v>0</v>
      </c>
      <c r="S75" s="145">
        <v>0</v>
      </c>
      <c r="T75" s="145">
        <v>0</v>
      </c>
      <c r="U75" s="145">
        <v>0</v>
      </c>
      <c r="V75" s="145">
        <v>0</v>
      </c>
      <c r="W75" s="145">
        <v>0</v>
      </c>
      <c r="X75" s="145">
        <v>0</v>
      </c>
      <c r="Y75" s="145">
        <v>0</v>
      </c>
      <c r="Z75" s="145">
        <v>0</v>
      </c>
      <c r="AA75" s="145">
        <v>0</v>
      </c>
      <c r="AB75" s="145">
        <v>0</v>
      </c>
      <c r="AC75" s="145">
        <v>0</v>
      </c>
      <c r="AD75" s="145">
        <v>0</v>
      </c>
      <c r="AE75" s="145">
        <v>0</v>
      </c>
      <c r="AF75" s="145">
        <v>0</v>
      </c>
      <c r="AG75" s="145">
        <v>0</v>
      </c>
      <c r="AH75" s="145">
        <v>0</v>
      </c>
      <c r="AI75" s="145">
        <v>0</v>
      </c>
      <c r="AJ75" s="145">
        <v>0</v>
      </c>
      <c r="AK75" s="145">
        <v>0</v>
      </c>
      <c r="AL75" s="145">
        <v>0</v>
      </c>
      <c r="AM75" s="145">
        <v>0</v>
      </c>
      <c r="AN75" s="145">
        <v>0</v>
      </c>
      <c r="AO75" s="145">
        <v>0</v>
      </c>
      <c r="AP75" s="145">
        <v>0</v>
      </c>
      <c r="AQ75" s="145">
        <v>0</v>
      </c>
      <c r="AR75" s="145">
        <v>0</v>
      </c>
      <c r="AS75" s="145">
        <v>0</v>
      </c>
      <c r="AT75" s="145">
        <v>0</v>
      </c>
      <c r="AU75" s="145">
        <v>0</v>
      </c>
      <c r="AV75" s="145">
        <v>0</v>
      </c>
      <c r="AW75" s="145">
        <v>0</v>
      </c>
      <c r="AX75" s="145">
        <v>0</v>
      </c>
      <c r="AY75" s="145">
        <v>0</v>
      </c>
      <c r="AZ75" s="145">
        <v>0</v>
      </c>
      <c r="BA75" s="145">
        <v>0</v>
      </c>
      <c r="BB75" s="145">
        <v>0</v>
      </c>
      <c r="BC75" s="145">
        <v>0</v>
      </c>
      <c r="BD75" s="145">
        <v>0</v>
      </c>
      <c r="BE75" s="145">
        <v>0</v>
      </c>
      <c r="BF75" s="145">
        <v>0</v>
      </c>
    </row>
    <row r="76" spans="1:58">
      <c r="L76" s="141" t="str">
        <f>'00_Datos_Mercado'!$B$6</f>
        <v>d_CS - Torre Empresarial (Oficinas + Hospedaje)</v>
      </c>
      <c r="M76" s="148">
        <f t="shared" si="71"/>
        <v>0</v>
      </c>
      <c r="N76" s="145">
        <v>0</v>
      </c>
      <c r="O76" s="145">
        <v>0</v>
      </c>
      <c r="P76" s="145">
        <v>0</v>
      </c>
      <c r="Q76" s="145">
        <v>0</v>
      </c>
      <c r="R76" s="145">
        <v>0</v>
      </c>
      <c r="S76" s="145">
        <v>0</v>
      </c>
      <c r="T76" s="145">
        <v>0</v>
      </c>
      <c r="U76" s="145">
        <v>0</v>
      </c>
      <c r="V76" s="145">
        <v>0</v>
      </c>
      <c r="W76" s="145">
        <v>0</v>
      </c>
      <c r="X76" s="145">
        <v>0</v>
      </c>
      <c r="Y76" s="145">
        <v>0</v>
      </c>
      <c r="Z76" s="145">
        <v>0</v>
      </c>
      <c r="AA76" s="145">
        <v>0</v>
      </c>
      <c r="AB76" s="145">
        <v>0</v>
      </c>
      <c r="AC76" s="145">
        <v>0</v>
      </c>
      <c r="AD76" s="145">
        <v>0</v>
      </c>
      <c r="AE76" s="145">
        <v>0</v>
      </c>
      <c r="AF76" s="145">
        <v>0</v>
      </c>
      <c r="AG76" s="145">
        <v>0</v>
      </c>
      <c r="AH76" s="145">
        <v>0</v>
      </c>
      <c r="AI76" s="145">
        <v>0</v>
      </c>
      <c r="AJ76" s="145">
        <v>0</v>
      </c>
      <c r="AK76" s="145">
        <v>0</v>
      </c>
      <c r="AL76" s="145">
        <v>0</v>
      </c>
      <c r="AM76" s="145">
        <v>0</v>
      </c>
      <c r="AN76" s="145">
        <v>0</v>
      </c>
      <c r="AO76" s="145">
        <v>0</v>
      </c>
      <c r="AP76" s="145">
        <v>0</v>
      </c>
      <c r="AQ76" s="145">
        <v>0</v>
      </c>
      <c r="AR76" s="145">
        <v>0</v>
      </c>
      <c r="AS76" s="145">
        <v>0</v>
      </c>
      <c r="AT76" s="145">
        <v>0</v>
      </c>
      <c r="AU76" s="145">
        <v>0</v>
      </c>
      <c r="AV76" s="145">
        <v>0</v>
      </c>
      <c r="AW76" s="145">
        <v>0</v>
      </c>
      <c r="AX76" s="145">
        <v>0</v>
      </c>
      <c r="AY76" s="145">
        <v>0</v>
      </c>
      <c r="AZ76" s="145">
        <v>0</v>
      </c>
      <c r="BA76" s="145">
        <v>0</v>
      </c>
      <c r="BB76" s="145">
        <v>0</v>
      </c>
      <c r="BC76" s="145">
        <v>0</v>
      </c>
      <c r="BD76" s="145">
        <v>0</v>
      </c>
      <c r="BE76" s="145">
        <v>0</v>
      </c>
      <c r="BF76" s="145">
        <v>0</v>
      </c>
    </row>
    <row r="77" spans="1:58">
      <c r="L77" s="142" t="str">
        <f>'00_Datos_Mercado'!$B$7</f>
        <v>e_CS - Innovation (H, CS, Gamers)</v>
      </c>
      <c r="M77" s="148">
        <f t="shared" si="71"/>
        <v>111874.70999999995</v>
      </c>
      <c r="N77" s="145">
        <v>3150.69</v>
      </c>
      <c r="O77" s="145">
        <v>3504.72</v>
      </c>
      <c r="P77" s="145">
        <v>3504.72</v>
      </c>
      <c r="Q77" s="145">
        <v>3504.72</v>
      </c>
      <c r="R77" s="145">
        <v>0</v>
      </c>
      <c r="S77" s="145">
        <v>3168.06</v>
      </c>
      <c r="T77" s="145">
        <v>3168.06</v>
      </c>
      <c r="U77" s="145">
        <v>3168.06</v>
      </c>
      <c r="V77" s="145">
        <v>3168.06</v>
      </c>
      <c r="W77" s="145">
        <v>3168.06</v>
      </c>
      <c r="X77" s="145">
        <v>3168.06</v>
      </c>
      <c r="Y77" s="145">
        <v>3168.06</v>
      </c>
      <c r="Z77" s="145">
        <v>3168.06</v>
      </c>
      <c r="AA77" s="145">
        <v>3168.06</v>
      </c>
      <c r="AB77" s="145">
        <v>3168.06</v>
      </c>
      <c r="AC77" s="145">
        <v>3168.06</v>
      </c>
      <c r="AD77" s="145">
        <v>3168.06</v>
      </c>
      <c r="AE77" s="145">
        <v>3168.06</v>
      </c>
      <c r="AF77" s="145">
        <v>3168.06</v>
      </c>
      <c r="AG77" s="145">
        <v>3168.06</v>
      </c>
      <c r="AH77" s="145">
        <v>3168.06</v>
      </c>
      <c r="AI77" s="145">
        <v>3168.06</v>
      </c>
      <c r="AJ77" s="145">
        <v>3168.06</v>
      </c>
      <c r="AK77" s="145">
        <v>3168.06</v>
      </c>
      <c r="AL77" s="145">
        <v>3168.06</v>
      </c>
      <c r="AM77" s="145">
        <v>3168.06</v>
      </c>
      <c r="AN77" s="145">
        <v>3168.06</v>
      </c>
      <c r="AO77" s="145">
        <v>3168.06</v>
      </c>
      <c r="AP77" s="145">
        <v>3168.06</v>
      </c>
      <c r="AQ77" s="145">
        <v>3168.06</v>
      </c>
      <c r="AR77" s="145">
        <v>3168.06</v>
      </c>
      <c r="AS77" s="145">
        <v>3168.06</v>
      </c>
      <c r="AT77" s="145">
        <v>3168.06</v>
      </c>
      <c r="AU77" s="145">
        <v>3168.06</v>
      </c>
      <c r="AV77" s="145">
        <v>3168.06</v>
      </c>
      <c r="AW77" s="145">
        <v>3168.06</v>
      </c>
      <c r="AX77" s="145">
        <v>0</v>
      </c>
      <c r="AY77" s="145">
        <v>0</v>
      </c>
      <c r="AZ77" s="145">
        <v>0</v>
      </c>
      <c r="BA77" s="145">
        <v>0</v>
      </c>
      <c r="BB77" s="145">
        <v>0</v>
      </c>
      <c r="BC77" s="145">
        <v>0</v>
      </c>
      <c r="BD77" s="145">
        <v>0</v>
      </c>
      <c r="BE77" s="145">
        <v>0</v>
      </c>
      <c r="BF77" s="145">
        <v>0</v>
      </c>
    </row>
    <row r="78" spans="1:58">
      <c r="L78" s="144" t="str">
        <f>'00_Datos_Mercado'!$B$8</f>
        <v xml:space="preserve">f_RES - VIS Ru </v>
      </c>
      <c r="M78" s="148">
        <f t="shared" si="71"/>
        <v>0</v>
      </c>
      <c r="N78" s="148">
        <f t="shared" ref="N78:N79" si="72">SUM(O78:AS78)</f>
        <v>0</v>
      </c>
      <c r="O78" s="148">
        <f t="shared" ref="O78:O79" si="73">SUM(P78:AT78)</f>
        <v>0</v>
      </c>
      <c r="P78" s="148">
        <f t="shared" ref="P78:P79" si="74">SUM(Q78:AU78)</f>
        <v>0</v>
      </c>
      <c r="Q78" s="148">
        <f t="shared" ref="Q78:Q79" si="75">SUM(R78:AV78)</f>
        <v>0</v>
      </c>
      <c r="R78" s="148">
        <f t="shared" ref="R78:R79" si="76">SUM(S78:AW78)</f>
        <v>0</v>
      </c>
      <c r="S78" s="148">
        <f t="shared" ref="S78:S79" si="77">SUM(T78:AX78)</f>
        <v>0</v>
      </c>
      <c r="T78" s="148">
        <f t="shared" ref="T78:T79" si="78">SUM(U78:AY78)</f>
        <v>0</v>
      </c>
      <c r="U78" s="148">
        <f t="shared" ref="U78:U79" si="79">SUM(V78:AZ78)</f>
        <v>0</v>
      </c>
      <c r="V78" s="148">
        <f t="shared" ref="V78:V79" si="80">SUM(W78:BA78)</f>
        <v>0</v>
      </c>
      <c r="W78" s="148">
        <f t="shared" ref="W78:W79" si="81">SUM(X78:BB78)</f>
        <v>0</v>
      </c>
      <c r="X78" s="148">
        <f t="shared" ref="X78:X79" si="82">SUM(Y78:BC78)</f>
        <v>0</v>
      </c>
      <c r="Y78" s="148">
        <f t="shared" ref="Y78:Y79" si="83">SUM(Z78:BD78)</f>
        <v>0</v>
      </c>
      <c r="Z78" s="148">
        <f t="shared" ref="Z78:Z79" si="84">SUM(AA78:BE78)</f>
        <v>0</v>
      </c>
      <c r="AA78" s="148">
        <f t="shared" ref="AA78:AA79" si="85">SUM(AB78:BF78)</f>
        <v>0</v>
      </c>
      <c r="AB78" s="148">
        <f t="shared" ref="AB78:AB79" si="86">SUM(AC78:BG78)</f>
        <v>0</v>
      </c>
      <c r="AC78" s="148">
        <f t="shared" ref="AC78:AC79" si="87">SUM(AD78:BH78)</f>
        <v>0</v>
      </c>
      <c r="AD78" s="148">
        <f t="shared" ref="AD78:AD79" si="88">SUM(AE78:BI78)</f>
        <v>0</v>
      </c>
      <c r="AE78" s="148">
        <f t="shared" ref="AE78:AE79" si="89">SUM(AF78:BJ78)</f>
        <v>0</v>
      </c>
      <c r="AF78" s="148">
        <f t="shared" ref="AF78:AF79" si="90">SUM(AG78:BK78)</f>
        <v>0</v>
      </c>
      <c r="AG78" s="148">
        <f t="shared" ref="AG78:AG79" si="91">SUM(AH78:BL78)</f>
        <v>0</v>
      </c>
      <c r="AH78" s="148">
        <f t="shared" ref="AH78:AH79" si="92">SUM(AI78:BM78)</f>
        <v>0</v>
      </c>
      <c r="AI78" s="148">
        <f t="shared" ref="AI78:AI79" si="93">SUM(AJ78:BN78)</f>
        <v>0</v>
      </c>
      <c r="AJ78" s="148">
        <f t="shared" ref="AJ78:AJ79" si="94">SUM(AK78:BO78)</f>
        <v>0</v>
      </c>
      <c r="AK78" s="148">
        <f t="shared" ref="AK78:AK79" si="95">SUM(AL78:BP78)</f>
        <v>0</v>
      </c>
      <c r="AL78" s="148">
        <f t="shared" ref="AL78:AL79" si="96">SUM(AM78:BQ78)</f>
        <v>0</v>
      </c>
      <c r="AM78" s="148">
        <f t="shared" ref="AM78:AM79" si="97">SUM(AN78:BR78)</f>
        <v>0</v>
      </c>
      <c r="AN78" s="148">
        <f t="shared" ref="AN78:AN79" si="98">SUM(AO78:BS78)</f>
        <v>0</v>
      </c>
      <c r="AO78" s="148">
        <f t="shared" ref="AO78:AO79" si="99">SUM(AP78:BT78)</f>
        <v>0</v>
      </c>
      <c r="AP78" s="148">
        <f t="shared" ref="AP78:AP79" si="100">SUM(AQ78:BU78)</f>
        <v>0</v>
      </c>
      <c r="AQ78" s="148">
        <f t="shared" ref="AQ78:AQ79" si="101">SUM(AR78:BV78)</f>
        <v>0</v>
      </c>
      <c r="AR78" s="148">
        <f t="shared" ref="AR78:AR79" si="102">SUM(AS78:BW78)</f>
        <v>0</v>
      </c>
      <c r="AS78" s="145">
        <v>0</v>
      </c>
      <c r="AT78" s="145">
        <v>0</v>
      </c>
      <c r="AU78" s="145">
        <v>0</v>
      </c>
      <c r="AV78" s="145">
        <v>0</v>
      </c>
      <c r="AW78" s="145">
        <v>0</v>
      </c>
      <c r="AX78" s="145">
        <v>0</v>
      </c>
      <c r="AY78" s="145">
        <v>0</v>
      </c>
      <c r="AZ78" s="145">
        <v>0</v>
      </c>
      <c r="BA78" s="145">
        <v>0</v>
      </c>
      <c r="BB78" s="145">
        <v>0</v>
      </c>
      <c r="BC78" s="145">
        <v>0</v>
      </c>
      <c r="BD78" s="145">
        <v>0</v>
      </c>
      <c r="BE78" s="145">
        <v>0</v>
      </c>
      <c r="BF78" s="145">
        <v>0</v>
      </c>
    </row>
    <row r="79" spans="1:58">
      <c r="L79" s="143" t="str">
        <f>'00_Datos_Mercado'!$B$10</f>
        <v>i_RES - No VIS</v>
      </c>
      <c r="M79" s="148">
        <f t="shared" si="71"/>
        <v>0</v>
      </c>
      <c r="N79" s="148">
        <f t="shared" si="72"/>
        <v>0</v>
      </c>
      <c r="O79" s="148">
        <f t="shared" si="73"/>
        <v>0</v>
      </c>
      <c r="P79" s="148">
        <f t="shared" si="74"/>
        <v>0</v>
      </c>
      <c r="Q79" s="148">
        <f t="shared" si="75"/>
        <v>0</v>
      </c>
      <c r="R79" s="148">
        <f t="shared" si="76"/>
        <v>0</v>
      </c>
      <c r="S79" s="148">
        <f t="shared" si="77"/>
        <v>0</v>
      </c>
      <c r="T79" s="148">
        <f t="shared" si="78"/>
        <v>0</v>
      </c>
      <c r="U79" s="148">
        <f t="shared" si="79"/>
        <v>0</v>
      </c>
      <c r="V79" s="148">
        <f t="shared" si="80"/>
        <v>0</v>
      </c>
      <c r="W79" s="148">
        <f t="shared" si="81"/>
        <v>0</v>
      </c>
      <c r="X79" s="148">
        <f t="shared" si="82"/>
        <v>0</v>
      </c>
      <c r="Y79" s="148">
        <f t="shared" si="83"/>
        <v>0</v>
      </c>
      <c r="Z79" s="148">
        <f t="shared" si="84"/>
        <v>0</v>
      </c>
      <c r="AA79" s="148">
        <f t="shared" si="85"/>
        <v>0</v>
      </c>
      <c r="AB79" s="148">
        <f t="shared" si="86"/>
        <v>0</v>
      </c>
      <c r="AC79" s="148">
        <f t="shared" si="87"/>
        <v>0</v>
      </c>
      <c r="AD79" s="148">
        <f t="shared" si="88"/>
        <v>0</v>
      </c>
      <c r="AE79" s="148">
        <f t="shared" si="89"/>
        <v>0</v>
      </c>
      <c r="AF79" s="148">
        <f t="shared" si="90"/>
        <v>0</v>
      </c>
      <c r="AG79" s="148">
        <f t="shared" si="91"/>
        <v>0</v>
      </c>
      <c r="AH79" s="148">
        <f t="shared" si="92"/>
        <v>0</v>
      </c>
      <c r="AI79" s="148">
        <f t="shared" si="93"/>
        <v>0</v>
      </c>
      <c r="AJ79" s="148">
        <f t="shared" si="94"/>
        <v>0</v>
      </c>
      <c r="AK79" s="148">
        <f t="shared" si="95"/>
        <v>0</v>
      </c>
      <c r="AL79" s="148">
        <f t="shared" si="96"/>
        <v>0</v>
      </c>
      <c r="AM79" s="148">
        <f t="shared" si="97"/>
        <v>0</v>
      </c>
      <c r="AN79" s="148">
        <f t="shared" si="98"/>
        <v>0</v>
      </c>
      <c r="AO79" s="148">
        <f t="shared" si="99"/>
        <v>0</v>
      </c>
      <c r="AP79" s="148">
        <f t="shared" si="100"/>
        <v>0</v>
      </c>
      <c r="AQ79" s="148">
        <f t="shared" si="101"/>
        <v>0</v>
      </c>
      <c r="AR79" s="148">
        <f t="shared" si="102"/>
        <v>0</v>
      </c>
      <c r="AS79" s="145">
        <v>0</v>
      </c>
      <c r="AT79" s="145">
        <v>0</v>
      </c>
      <c r="AU79" s="145">
        <v>0</v>
      </c>
      <c r="AV79" s="145">
        <v>0</v>
      </c>
      <c r="AW79" s="145">
        <v>0</v>
      </c>
      <c r="AX79" s="145">
        <v>0</v>
      </c>
      <c r="AY79" s="145">
        <v>0</v>
      </c>
      <c r="AZ79" s="145">
        <v>0</v>
      </c>
      <c r="BA79" s="145">
        <v>0</v>
      </c>
      <c r="BB79" s="145">
        <v>0</v>
      </c>
      <c r="BC79" s="145">
        <v>0</v>
      </c>
      <c r="BD79" s="145">
        <v>0</v>
      </c>
      <c r="BE79" s="145">
        <v>0</v>
      </c>
      <c r="BF79" s="145">
        <v>0</v>
      </c>
    </row>
    <row r="80" spans="1:58">
      <c r="L80" s="264" t="s">
        <v>697</v>
      </c>
      <c r="M80" s="264">
        <f t="shared" si="71"/>
        <v>6336.12</v>
      </c>
      <c r="N80" s="265">
        <v>0</v>
      </c>
      <c r="O80" s="265">
        <v>0</v>
      </c>
      <c r="P80" s="265">
        <v>0</v>
      </c>
      <c r="Q80" s="265">
        <v>0</v>
      </c>
      <c r="R80" s="265">
        <v>3168.06</v>
      </c>
      <c r="S80" s="265">
        <v>0</v>
      </c>
      <c r="T80" s="265">
        <v>0</v>
      </c>
      <c r="U80" s="265">
        <v>0</v>
      </c>
      <c r="V80" s="265">
        <v>0</v>
      </c>
      <c r="W80" s="265">
        <v>0</v>
      </c>
      <c r="X80" s="265">
        <v>0</v>
      </c>
      <c r="Y80" s="265">
        <v>0</v>
      </c>
      <c r="Z80" s="265">
        <v>0</v>
      </c>
      <c r="AA80" s="265">
        <v>0</v>
      </c>
      <c r="AB80" s="265">
        <v>0</v>
      </c>
      <c r="AC80" s="265">
        <v>0</v>
      </c>
      <c r="AD80" s="265">
        <v>0</v>
      </c>
      <c r="AE80" s="265">
        <v>0</v>
      </c>
      <c r="AF80" s="265">
        <v>0</v>
      </c>
      <c r="AG80" s="265">
        <v>0</v>
      </c>
      <c r="AH80" s="265">
        <v>0</v>
      </c>
      <c r="AI80" s="265">
        <v>0</v>
      </c>
      <c r="AJ80" s="265">
        <v>0</v>
      </c>
      <c r="AK80" s="265">
        <v>0</v>
      </c>
      <c r="AL80" s="265">
        <v>0</v>
      </c>
      <c r="AM80" s="265">
        <v>0</v>
      </c>
      <c r="AN80" s="265">
        <v>0</v>
      </c>
      <c r="AO80" s="265">
        <v>0</v>
      </c>
      <c r="AP80" s="265">
        <v>0</v>
      </c>
      <c r="AQ80" s="265">
        <v>0</v>
      </c>
      <c r="AR80" s="265">
        <v>0</v>
      </c>
      <c r="AS80" s="265">
        <v>0</v>
      </c>
      <c r="AT80" s="265">
        <v>0</v>
      </c>
      <c r="AU80" s="265">
        <v>0</v>
      </c>
      <c r="AV80" s="265">
        <v>0</v>
      </c>
      <c r="AW80" s="265">
        <v>0</v>
      </c>
      <c r="AX80" s="265">
        <v>3168.06</v>
      </c>
      <c r="AY80" s="266">
        <v>0</v>
      </c>
      <c r="AZ80" s="266">
        <v>0</v>
      </c>
      <c r="BA80" s="266">
        <v>0</v>
      </c>
      <c r="BB80" s="266">
        <v>0</v>
      </c>
      <c r="BC80" s="266">
        <v>0</v>
      </c>
      <c r="BD80" s="266">
        <v>0</v>
      </c>
      <c r="BE80" s="266">
        <v>0</v>
      </c>
      <c r="BF80" s="266">
        <v>0</v>
      </c>
    </row>
  </sheetData>
  <mergeCells count="12">
    <mergeCell ref="A1:K1"/>
    <mergeCell ref="A2:A4"/>
    <mergeCell ref="B2:B4"/>
    <mergeCell ref="C2:F2"/>
    <mergeCell ref="I2:I4"/>
    <mergeCell ref="J2:K4"/>
    <mergeCell ref="N3:AR3"/>
    <mergeCell ref="C3:C4"/>
    <mergeCell ref="D3:D4"/>
    <mergeCell ref="E3:E4"/>
    <mergeCell ref="F3:F4"/>
    <mergeCell ref="G2:H4"/>
  </mergeCells>
  <pageMargins left="0.7" right="0.7" top="0.75" bottom="0.75" header="0.3" footer="0.3"/>
  <ignoredErrors>
    <ignoredError sqref="M18 M36 M45 M54 M63 M27 M72" formula="1"/>
    <ignoredError sqref="R9 N9 O9:Q9 S9:BF9 N27:AZ27 BA27:BF27 O36:BF36 N54 N45:Z45 AA45:BF45 O54:BF54 N63:BF63 AS72:AX72 AY72:BF72 N18:BF18" formulaRange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B8DE9-F0B5-4488-9ACE-15C0E3C83D14}">
  <dimension ref="A1:I12"/>
  <sheetViews>
    <sheetView workbookViewId="0">
      <selection activeCell="C2" sqref="C2"/>
    </sheetView>
  </sheetViews>
  <sheetFormatPr defaultColWidth="11" defaultRowHeight="13.9"/>
  <cols>
    <col min="1" max="1" width="5.25" bestFit="1" customWidth="1"/>
    <col min="2" max="2" width="16.625" bestFit="1" customWidth="1"/>
    <col min="3" max="3" width="27.125" bestFit="1" customWidth="1"/>
    <col min="4" max="4" width="11" bestFit="1" customWidth="1"/>
    <col min="5" max="5" width="13.125" bestFit="1" customWidth="1"/>
    <col min="6" max="9" width="9.625" style="2" bestFit="1" customWidth="1"/>
  </cols>
  <sheetData>
    <row r="1" spans="1:9">
      <c r="A1" s="774"/>
      <c r="B1" s="1564" t="s">
        <v>698</v>
      </c>
      <c r="C1" s="1564"/>
      <c r="D1" s="1564"/>
      <c r="E1" s="1564"/>
      <c r="F1" s="1564" t="s">
        <v>699</v>
      </c>
      <c r="G1" s="1564"/>
      <c r="H1" s="1564" t="s">
        <v>700</v>
      </c>
      <c r="I1" s="1564"/>
    </row>
    <row r="2" spans="1:9">
      <c r="A2" s="776" t="s">
        <v>701</v>
      </c>
      <c r="B2" s="775" t="s">
        <v>702</v>
      </c>
      <c r="C2" s="775" t="s">
        <v>703</v>
      </c>
      <c r="D2" s="775" t="s">
        <v>704</v>
      </c>
      <c r="E2" s="775" t="s">
        <v>705</v>
      </c>
      <c r="F2" s="777"/>
      <c r="G2" s="778"/>
      <c r="H2" s="778"/>
      <c r="I2" s="778"/>
    </row>
    <row r="3" spans="1:9" s="40" customFormat="1">
      <c r="A3" s="296"/>
      <c r="B3" s="296" t="s">
        <v>164</v>
      </c>
      <c r="C3" s="296" t="s">
        <v>164</v>
      </c>
      <c r="D3" s="296" t="s">
        <v>164</v>
      </c>
      <c r="E3" s="296" t="s">
        <v>220</v>
      </c>
      <c r="F3" s="296" t="s">
        <v>164</v>
      </c>
      <c r="G3" s="296" t="s">
        <v>164</v>
      </c>
      <c r="H3" s="296" t="s">
        <v>164</v>
      </c>
      <c r="I3" s="296" t="s">
        <v>164</v>
      </c>
    </row>
    <row r="4" spans="1:9">
      <c r="A4" s="295"/>
      <c r="B4" s="594">
        <f>SUM(B5:B12)</f>
        <v>41377.778899999998</v>
      </c>
      <c r="C4" s="280">
        <f>SUM(C5:C12)</f>
        <v>43948.044250916901</v>
      </c>
      <c r="D4" s="280">
        <f>SUM(D5:D12)</f>
        <v>2570.2653509168999</v>
      </c>
      <c r="E4" s="780"/>
      <c r="F4" s="282"/>
      <c r="G4" s="282"/>
      <c r="H4" s="282"/>
      <c r="I4" s="282"/>
    </row>
    <row r="5" spans="1:9">
      <c r="A5" s="293">
        <v>1</v>
      </c>
      <c r="B5" s="282">
        <v>2598.4319999999998</v>
      </c>
      <c r="C5" s="779">
        <f>'04c_Resumen_MO'!I6</f>
        <v>2921.1364674728761</v>
      </c>
      <c r="D5" s="295">
        <f>C5-B5</f>
        <v>322.70446747287633</v>
      </c>
      <c r="E5" s="781">
        <f>D5/B5</f>
        <v>0.12419200020353673</v>
      </c>
      <c r="F5" s="779">
        <v>2931.22</v>
      </c>
      <c r="G5" s="779">
        <f t="shared" ref="G5:G12" si="0">F5*(1+E5)</f>
        <v>3295.2540748366109</v>
      </c>
      <c r="H5" s="779">
        <v>2683.59</v>
      </c>
      <c r="I5" s="779">
        <f t="shared" ref="I5:I12" si="1">H5*(1+E5)</f>
        <v>3016.8704098262097</v>
      </c>
    </row>
    <row r="6" spans="1:9">
      <c r="A6" s="293">
        <v>2</v>
      </c>
      <c r="B6" s="282">
        <v>4843.3685000000005</v>
      </c>
      <c r="C6" s="779">
        <f>'04c_Resumen_MO'!I7</f>
        <v>5092.7723828413127</v>
      </c>
      <c r="D6" s="295">
        <f t="shared" ref="D6:D12" si="2">C6-B6</f>
        <v>249.40388284131222</v>
      </c>
      <c r="E6" s="781">
        <f t="shared" ref="E6:E12" si="3">D6/B6</f>
        <v>5.149388960210486E-2</v>
      </c>
      <c r="F6" s="779">
        <v>5288.17</v>
      </c>
      <c r="G6" s="779">
        <f t="shared" si="0"/>
        <v>5560.4784421771628</v>
      </c>
      <c r="H6" s="779">
        <v>4901.88</v>
      </c>
      <c r="I6" s="779">
        <f t="shared" si="1"/>
        <v>5154.2968675627662</v>
      </c>
    </row>
    <row r="7" spans="1:9">
      <c r="A7" s="293">
        <v>3</v>
      </c>
      <c r="B7" s="282">
        <v>5093.2916999999998</v>
      </c>
      <c r="C7" s="779">
        <f>'04c_Resumen_MO'!I8</f>
        <v>5431.80275334625</v>
      </c>
      <c r="D7" s="295">
        <f t="shared" si="2"/>
        <v>338.51105334625026</v>
      </c>
      <c r="E7" s="781">
        <f t="shared" si="3"/>
        <v>6.6462137510453267E-2</v>
      </c>
      <c r="F7" s="779">
        <v>5530.72</v>
      </c>
      <c r="G7" s="779">
        <f t="shared" si="0"/>
        <v>5898.3034731718144</v>
      </c>
      <c r="H7" s="779">
        <v>5078.78</v>
      </c>
      <c r="I7" s="779">
        <f t="shared" si="1"/>
        <v>5416.3265747453397</v>
      </c>
    </row>
    <row r="8" spans="1:9">
      <c r="A8" s="293">
        <v>4</v>
      </c>
      <c r="B8" s="282">
        <v>7946.7856999999995</v>
      </c>
      <c r="C8" s="779">
        <f>'04c_Resumen_MO'!I9</f>
        <v>8133.4699118704657</v>
      </c>
      <c r="D8" s="295">
        <f t="shared" si="2"/>
        <v>186.68421187046624</v>
      </c>
      <c r="E8" s="781">
        <f t="shared" si="3"/>
        <v>2.3491788871375537E-2</v>
      </c>
      <c r="F8" s="779">
        <v>8498.6299999999992</v>
      </c>
      <c r="G8" s="779">
        <f t="shared" si="0"/>
        <v>8698.2780216559368</v>
      </c>
      <c r="H8" s="779">
        <v>7557.37</v>
      </c>
      <c r="I8" s="779">
        <f t="shared" si="1"/>
        <v>7734.9061404628665</v>
      </c>
    </row>
    <row r="9" spans="1:9">
      <c r="A9" s="293">
        <v>5</v>
      </c>
      <c r="B9" s="282">
        <v>5684.6503000000002</v>
      </c>
      <c r="C9" s="779">
        <f>'04c_Resumen_MO'!I10</f>
        <v>5998.1154100699305</v>
      </c>
      <c r="D9" s="295">
        <f t="shared" si="2"/>
        <v>313.46511006993023</v>
      </c>
      <c r="E9" s="781">
        <f t="shared" si="3"/>
        <v>5.514237350183708E-2</v>
      </c>
      <c r="F9" s="779">
        <v>6173.22</v>
      </c>
      <c r="G9" s="779">
        <f t="shared" si="0"/>
        <v>6513.6260029490104</v>
      </c>
      <c r="H9" s="779">
        <v>5738.56</v>
      </c>
      <c r="I9" s="779">
        <f t="shared" si="1"/>
        <v>6054.9978188827026</v>
      </c>
    </row>
    <row r="10" spans="1:9">
      <c r="A10" s="293">
        <v>6</v>
      </c>
      <c r="B10" s="282">
        <v>6350.4300999999996</v>
      </c>
      <c r="C10" s="779">
        <f>'04c_Resumen_MO'!I11</f>
        <v>6680.3983195752862</v>
      </c>
      <c r="D10" s="295">
        <f t="shared" si="2"/>
        <v>329.96821957528664</v>
      </c>
      <c r="E10" s="781">
        <f t="shared" si="3"/>
        <v>5.1959979777635321E-2</v>
      </c>
      <c r="F10" s="779">
        <v>6855.66</v>
      </c>
      <c r="G10" s="779">
        <f t="shared" si="0"/>
        <v>7211.8799549623436</v>
      </c>
      <c r="H10" s="779">
        <v>6054.93</v>
      </c>
      <c r="I10" s="779">
        <f t="shared" si="1"/>
        <v>6369.5440403549974</v>
      </c>
    </row>
    <row r="11" spans="1:9">
      <c r="A11" s="293">
        <v>7</v>
      </c>
      <c r="B11" s="282">
        <v>5710.1354000000001</v>
      </c>
      <c r="C11" s="779">
        <f>'04c_Resumen_MO'!I12</f>
        <v>6265.2010167113922</v>
      </c>
      <c r="D11" s="295">
        <f t="shared" si="2"/>
        <v>555.06561671139207</v>
      </c>
      <c r="E11" s="781">
        <f t="shared" si="3"/>
        <v>9.720708491630374E-2</v>
      </c>
      <c r="F11" s="779">
        <v>6031.65</v>
      </c>
      <c r="G11" s="779">
        <f t="shared" si="0"/>
        <v>6617.9691137354239</v>
      </c>
      <c r="H11" s="779">
        <v>4133.07</v>
      </c>
      <c r="I11" s="779">
        <f t="shared" si="1"/>
        <v>4534.8336864550274</v>
      </c>
    </row>
    <row r="12" spans="1:9">
      <c r="A12" s="293">
        <v>8</v>
      </c>
      <c r="B12" s="282">
        <v>3150.6851999999999</v>
      </c>
      <c r="C12" s="779">
        <f>'04c_Resumen_MO'!I13</f>
        <v>3425.1479890293858</v>
      </c>
      <c r="D12" s="295">
        <f t="shared" si="2"/>
        <v>274.46278902938593</v>
      </c>
      <c r="E12" s="781">
        <f t="shared" si="3"/>
        <v>8.7112095181513513E-2</v>
      </c>
      <c r="F12" s="779">
        <v>3504.72</v>
      </c>
      <c r="G12" s="779">
        <f t="shared" si="0"/>
        <v>3810.0235022245533</v>
      </c>
      <c r="H12" s="779">
        <v>3168.06</v>
      </c>
      <c r="I12" s="779">
        <f t="shared" si="1"/>
        <v>3444.0363442607454</v>
      </c>
    </row>
  </sheetData>
  <mergeCells count="3">
    <mergeCell ref="F1:G1"/>
    <mergeCell ref="H1:I1"/>
    <mergeCell ref="B1:E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235E5-CDA7-4352-A16A-3160CF3A368C}">
  <sheetPr>
    <tabColor rgb="FFFF0000"/>
  </sheetPr>
  <dimension ref="A1:BF80"/>
  <sheetViews>
    <sheetView zoomScale="115" zoomScaleNormal="115" workbookViewId="0">
      <pane xSplit="1" ySplit="4" topLeftCell="E5" activePane="bottomRight" state="frozen"/>
      <selection pane="bottomRight" activeCell="M11" sqref="M11"/>
      <selection pane="bottomLeft" activeCell="A5" sqref="A5"/>
      <selection pane="topRight" activeCell="B1" sqref="B1"/>
    </sheetView>
  </sheetViews>
  <sheetFormatPr defaultColWidth="11.375" defaultRowHeight="12"/>
  <cols>
    <col min="1" max="1" width="6" style="473" bestFit="1" customWidth="1"/>
    <col min="2" max="2" width="16.375" style="427" bestFit="1" customWidth="1"/>
    <col min="3" max="3" width="12.875" style="427" customWidth="1"/>
    <col min="4" max="4" width="18.125" style="427" customWidth="1"/>
    <col min="5" max="5" width="19.625" style="427" customWidth="1"/>
    <col min="6" max="6" width="12.625" style="427" customWidth="1"/>
    <col min="7" max="7" width="21" style="427" customWidth="1"/>
    <col min="8" max="8" width="8.125" style="474" bestFit="1" customWidth="1"/>
    <col min="9" max="9" width="15.25" style="427" customWidth="1"/>
    <col min="10" max="10" width="15" style="427" bestFit="1" customWidth="1"/>
    <col min="11" max="11" width="6.25" style="427" bestFit="1" customWidth="1"/>
    <col min="12" max="12" width="40.375" style="427" customWidth="1"/>
    <col min="13" max="13" width="20.875" style="477" bestFit="1" customWidth="1"/>
    <col min="14" max="14" width="11.75" style="426" bestFit="1" customWidth="1"/>
    <col min="15" max="17" width="12" style="426" bestFit="1" customWidth="1"/>
    <col min="18" max="43" width="11.75" style="426" bestFit="1" customWidth="1"/>
    <col min="44" max="51" width="11.75" style="427" bestFit="1" customWidth="1"/>
    <col min="52" max="53" width="10.875" style="427" bestFit="1" customWidth="1"/>
    <col min="54" max="16384" width="11.375" style="427"/>
  </cols>
  <sheetData>
    <row r="1" spans="1:58">
      <c r="A1" s="1570" t="s">
        <v>574</v>
      </c>
      <c r="B1" s="1571"/>
      <c r="C1" s="1571"/>
      <c r="D1" s="1571"/>
      <c r="E1" s="1571"/>
      <c r="F1" s="1571"/>
      <c r="G1" s="1571"/>
      <c r="H1" s="1571"/>
      <c r="I1" s="1571"/>
      <c r="J1" s="1571"/>
      <c r="K1" s="1572"/>
      <c r="L1" s="424"/>
      <c r="M1" s="425"/>
    </row>
    <row r="2" spans="1:58">
      <c r="A2" s="1573" t="s">
        <v>247</v>
      </c>
      <c r="B2" s="1565" t="s">
        <v>575</v>
      </c>
      <c r="C2" s="1577" t="s">
        <v>576</v>
      </c>
      <c r="D2" s="1578"/>
      <c r="E2" s="1578"/>
      <c r="F2" s="1579"/>
      <c r="G2" s="1580" t="s">
        <v>694</v>
      </c>
      <c r="H2" s="1581"/>
      <c r="I2" s="1565" t="s">
        <v>682</v>
      </c>
      <c r="J2" s="1580" t="s">
        <v>683</v>
      </c>
      <c r="K2" s="1581"/>
      <c r="L2" s="428" t="s">
        <v>706</v>
      </c>
      <c r="M2" s="429"/>
    </row>
    <row r="3" spans="1:58" ht="32.450000000000003">
      <c r="A3" s="1574"/>
      <c r="B3" s="1576"/>
      <c r="C3" s="1565" t="s">
        <v>579</v>
      </c>
      <c r="D3" s="1565" t="s">
        <v>580</v>
      </c>
      <c r="E3" s="1565" t="s">
        <v>581</v>
      </c>
      <c r="F3" s="1565" t="s">
        <v>259</v>
      </c>
      <c r="G3" s="1582"/>
      <c r="H3" s="1583"/>
      <c r="I3" s="1576"/>
      <c r="J3" s="1582"/>
      <c r="K3" s="1583"/>
      <c r="L3" s="1568" t="s">
        <v>707</v>
      </c>
      <c r="M3" s="430" t="s">
        <v>630</v>
      </c>
      <c r="N3" s="1567" t="s">
        <v>695</v>
      </c>
      <c r="O3" s="1567"/>
      <c r="P3" s="1567"/>
      <c r="Q3" s="1567"/>
      <c r="R3" s="1567"/>
      <c r="S3" s="1567"/>
      <c r="T3" s="1567"/>
      <c r="U3" s="1567"/>
      <c r="V3" s="1567"/>
      <c r="W3" s="1567"/>
      <c r="X3" s="1567"/>
      <c r="Y3" s="1567"/>
      <c r="Z3" s="1567"/>
      <c r="AA3" s="1567"/>
      <c r="AB3" s="1567"/>
      <c r="AC3" s="1567"/>
      <c r="AD3" s="1567"/>
      <c r="AE3" s="1567"/>
      <c r="AF3" s="1567"/>
      <c r="AG3" s="1567"/>
      <c r="AH3" s="1567"/>
      <c r="AI3" s="1567"/>
      <c r="AJ3" s="1567"/>
      <c r="AK3" s="1567"/>
      <c r="AL3" s="1567"/>
      <c r="AM3" s="1567"/>
      <c r="AN3" s="1567"/>
      <c r="AO3" s="1567"/>
      <c r="AP3" s="1567"/>
      <c r="AQ3" s="1567"/>
      <c r="AR3" s="1567"/>
    </row>
    <row r="4" spans="1:58" s="434" customFormat="1">
      <c r="A4" s="1575"/>
      <c r="B4" s="1566"/>
      <c r="C4" s="1566"/>
      <c r="D4" s="1566"/>
      <c r="E4" s="1566"/>
      <c r="F4" s="1566"/>
      <c r="G4" s="1584"/>
      <c r="H4" s="1585"/>
      <c r="I4" s="1566"/>
      <c r="J4" s="1584"/>
      <c r="K4" s="1585"/>
      <c r="L4" s="1569"/>
      <c r="M4" s="431" t="s">
        <v>696</v>
      </c>
      <c r="N4" s="432">
        <v>1</v>
      </c>
      <c r="O4" s="433">
        <v>2</v>
      </c>
      <c r="P4" s="433">
        <v>3</v>
      </c>
      <c r="Q4" s="433">
        <v>4</v>
      </c>
      <c r="R4" s="433">
        <v>5</v>
      </c>
      <c r="S4" s="433">
        <v>6</v>
      </c>
      <c r="T4" s="433">
        <v>7</v>
      </c>
      <c r="U4" s="433">
        <v>8</v>
      </c>
      <c r="V4" s="433">
        <v>9</v>
      </c>
      <c r="W4" s="433">
        <v>10</v>
      </c>
      <c r="X4" s="433">
        <v>11</v>
      </c>
      <c r="Y4" s="433">
        <v>12</v>
      </c>
      <c r="Z4" s="433">
        <v>13</v>
      </c>
      <c r="AA4" s="433">
        <v>14</v>
      </c>
      <c r="AB4" s="433">
        <v>15</v>
      </c>
      <c r="AC4" s="433">
        <v>16</v>
      </c>
      <c r="AD4" s="433">
        <v>17</v>
      </c>
      <c r="AE4" s="433">
        <v>18</v>
      </c>
      <c r="AF4" s="433">
        <v>19</v>
      </c>
      <c r="AG4" s="433">
        <v>20</v>
      </c>
      <c r="AH4" s="433">
        <v>21</v>
      </c>
      <c r="AI4" s="433">
        <v>22</v>
      </c>
      <c r="AJ4" s="433">
        <v>23</v>
      </c>
      <c r="AK4" s="433">
        <v>24</v>
      </c>
      <c r="AL4" s="433">
        <v>25</v>
      </c>
      <c r="AM4" s="433">
        <v>26</v>
      </c>
      <c r="AN4" s="433">
        <v>27</v>
      </c>
      <c r="AO4" s="433">
        <v>28</v>
      </c>
      <c r="AP4" s="433">
        <v>29</v>
      </c>
      <c r="AQ4" s="433">
        <v>30</v>
      </c>
      <c r="AR4" s="433">
        <v>31</v>
      </c>
      <c r="AS4" s="433">
        <v>32</v>
      </c>
      <c r="AT4" s="433">
        <v>33</v>
      </c>
      <c r="AU4" s="433">
        <v>34</v>
      </c>
      <c r="AV4" s="433">
        <v>35</v>
      </c>
      <c r="AW4" s="433">
        <v>36</v>
      </c>
      <c r="AX4" s="433">
        <v>37</v>
      </c>
      <c r="AY4" s="433">
        <v>38</v>
      </c>
      <c r="AZ4" s="433">
        <v>39</v>
      </c>
      <c r="BA4" s="433">
        <v>40</v>
      </c>
      <c r="BB4" s="433">
        <v>41</v>
      </c>
      <c r="BC4" s="433">
        <v>42</v>
      </c>
      <c r="BD4" s="433">
        <v>43</v>
      </c>
      <c r="BE4" s="433">
        <v>44</v>
      </c>
      <c r="BF4" s="433">
        <v>45</v>
      </c>
    </row>
    <row r="5" spans="1:58" s="443" customFormat="1" ht="52.15">
      <c r="A5" s="435"/>
      <c r="B5" s="436"/>
      <c r="C5" s="436"/>
      <c r="D5" s="436"/>
      <c r="E5" s="436"/>
      <c r="F5" s="436"/>
      <c r="G5" s="436"/>
      <c r="H5" s="437"/>
      <c r="I5" s="436"/>
      <c r="J5" s="436"/>
      <c r="K5" s="438"/>
      <c r="L5" s="439" t="s">
        <v>708</v>
      </c>
      <c r="M5" s="440">
        <f>SUM(M6:M7)</f>
        <v>1533674.6653880293</v>
      </c>
      <c r="N5" s="441"/>
      <c r="O5" s="441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2"/>
      <c r="AA5" s="442"/>
      <c r="AB5" s="442"/>
      <c r="AC5" s="442"/>
      <c r="AD5" s="442"/>
      <c r="AE5" s="442"/>
      <c r="AF5" s="442"/>
      <c r="AG5" s="442"/>
      <c r="AH5" s="442"/>
      <c r="AI5" s="442"/>
      <c r="AJ5" s="442"/>
      <c r="AK5" s="442"/>
      <c r="AL5" s="442"/>
      <c r="AM5" s="442"/>
      <c r="AN5" s="442"/>
      <c r="AO5" s="442"/>
      <c r="AP5" s="442"/>
      <c r="AQ5" s="442"/>
    </row>
    <row r="6" spans="1:58" s="449" customFormat="1" ht="15.6">
      <c r="A6" s="444"/>
      <c r="B6" s="445" t="s">
        <v>164</v>
      </c>
      <c r="C6" s="445" t="s">
        <v>164</v>
      </c>
      <c r="D6" s="445" t="s">
        <v>164</v>
      </c>
      <c r="E6" s="445" t="s">
        <v>164</v>
      </c>
      <c r="F6" s="445" t="s">
        <v>164</v>
      </c>
      <c r="G6" s="445" t="s">
        <v>164</v>
      </c>
      <c r="H6" s="446" t="s">
        <v>220</v>
      </c>
      <c r="I6" s="445" t="s">
        <v>164</v>
      </c>
      <c r="J6" s="445" t="s">
        <v>164</v>
      </c>
      <c r="K6" s="445" t="s">
        <v>220</v>
      </c>
      <c r="L6" s="447" t="s">
        <v>697</v>
      </c>
      <c r="M6" s="448">
        <v>68424.685304795115</v>
      </c>
    </row>
    <row r="7" spans="1:58" s="456" customFormat="1" ht="20.45">
      <c r="A7" s="450"/>
      <c r="B7" s="451">
        <f t="shared" ref="B7:G7" si="0">SUM(B9:B72)</f>
        <v>164776.711307171</v>
      </c>
      <c r="C7" s="452">
        <f t="shared" si="0"/>
        <v>29501.324060209015</v>
      </c>
      <c r="D7" s="452">
        <f t="shared" si="0"/>
        <v>72340.479065592706</v>
      </c>
      <c r="E7" s="452">
        <f t="shared" si="0"/>
        <v>5263.0592238594272</v>
      </c>
      <c r="F7" s="452">
        <f t="shared" si="0"/>
        <v>107104.86234966114</v>
      </c>
      <c r="G7" s="452">
        <f t="shared" si="0"/>
        <v>57671.848957509857</v>
      </c>
      <c r="H7" s="453"/>
      <c r="I7" s="452">
        <f>SUM(I9:I72)</f>
        <v>13723.80470659296</v>
      </c>
      <c r="J7" s="451">
        <f>SUM(J9:J72)</f>
        <v>43948.044250916901</v>
      </c>
      <c r="K7" s="454">
        <f>SUM(K9:K72)</f>
        <v>1</v>
      </c>
      <c r="L7" s="439" t="s">
        <v>709</v>
      </c>
      <c r="M7" s="440">
        <f t="shared" ref="M7:BF7" si="1">SUM(M9,M18,M27,M36,M45,M54,M63,M72)</f>
        <v>1465249.9800832341</v>
      </c>
      <c r="N7" s="455">
        <f t="shared" si="1"/>
        <v>43948.49225524861</v>
      </c>
      <c r="O7" s="455">
        <f t="shared" si="1"/>
        <v>47605.938796803552</v>
      </c>
      <c r="P7" s="455">
        <f t="shared" si="1"/>
        <v>47605.812585712854</v>
      </c>
      <c r="Q7" s="455">
        <f t="shared" si="1"/>
        <v>47605.812585712854</v>
      </c>
      <c r="R7" s="455">
        <f t="shared" si="1"/>
        <v>0</v>
      </c>
      <c r="S7" s="455">
        <f t="shared" si="1"/>
        <v>41241.416898701806</v>
      </c>
      <c r="T7" s="455">
        <f t="shared" si="1"/>
        <v>41241.416898701806</v>
      </c>
      <c r="U7" s="455">
        <f t="shared" si="1"/>
        <v>41241.416898701806</v>
      </c>
      <c r="V7" s="455">
        <f t="shared" si="1"/>
        <v>41241.416898701806</v>
      </c>
      <c r="W7" s="455">
        <f t="shared" si="1"/>
        <v>41241.416898701806</v>
      </c>
      <c r="X7" s="455">
        <f t="shared" si="1"/>
        <v>41241.416898701806</v>
      </c>
      <c r="Y7" s="455">
        <f t="shared" si="1"/>
        <v>41241.416898701806</v>
      </c>
      <c r="Z7" s="455">
        <f t="shared" si="1"/>
        <v>41241.416898701806</v>
      </c>
      <c r="AA7" s="455">
        <f t="shared" si="1"/>
        <v>41241.416898701806</v>
      </c>
      <c r="AB7" s="455">
        <f t="shared" si="1"/>
        <v>41241.416898701806</v>
      </c>
      <c r="AC7" s="455">
        <f t="shared" si="1"/>
        <v>41241.416898701806</v>
      </c>
      <c r="AD7" s="455">
        <f t="shared" si="1"/>
        <v>41241.416898701806</v>
      </c>
      <c r="AE7" s="455">
        <f t="shared" si="1"/>
        <v>41241.416898701806</v>
      </c>
      <c r="AF7" s="455">
        <f t="shared" si="1"/>
        <v>41241.416898701806</v>
      </c>
      <c r="AG7" s="455">
        <f t="shared" si="1"/>
        <v>41241.416898701806</v>
      </c>
      <c r="AH7" s="455">
        <f t="shared" si="1"/>
        <v>41241.416898701806</v>
      </c>
      <c r="AI7" s="455">
        <f t="shared" si="1"/>
        <v>41241.416898701806</v>
      </c>
      <c r="AJ7" s="455">
        <f t="shared" si="1"/>
        <v>41241.416898701806</v>
      </c>
      <c r="AK7" s="455">
        <f t="shared" si="1"/>
        <v>41241.416898701806</v>
      </c>
      <c r="AL7" s="455">
        <f t="shared" si="1"/>
        <v>41241.416898701806</v>
      </c>
      <c r="AM7" s="455">
        <f t="shared" si="1"/>
        <v>41241.416898701806</v>
      </c>
      <c r="AN7" s="455">
        <f t="shared" si="1"/>
        <v>41241.416898701806</v>
      </c>
      <c r="AO7" s="455">
        <f t="shared" si="1"/>
        <v>41241.416898701806</v>
      </c>
      <c r="AP7" s="455">
        <f t="shared" si="1"/>
        <v>41241.416898701806</v>
      </c>
      <c r="AQ7" s="455">
        <f t="shared" si="1"/>
        <v>41241.416898701806</v>
      </c>
      <c r="AR7" s="455">
        <f t="shared" si="1"/>
        <v>41241.416898701806</v>
      </c>
      <c r="AS7" s="455">
        <f t="shared" si="1"/>
        <v>41241.416898701806</v>
      </c>
      <c r="AT7" s="455">
        <f t="shared" si="1"/>
        <v>41241.416898701806</v>
      </c>
      <c r="AU7" s="455">
        <f t="shared" si="1"/>
        <v>41241.416898701806</v>
      </c>
      <c r="AV7" s="455">
        <f t="shared" si="1"/>
        <v>41241.416898701806</v>
      </c>
      <c r="AW7" s="455">
        <f t="shared" si="1"/>
        <v>41241.416898701806</v>
      </c>
      <c r="AX7" s="455">
        <f t="shared" si="1"/>
        <v>0</v>
      </c>
      <c r="AY7" s="455">
        <f t="shared" si="1"/>
        <v>0</v>
      </c>
      <c r="AZ7" s="455">
        <f t="shared" si="1"/>
        <v>0</v>
      </c>
      <c r="BA7" s="455">
        <f t="shared" si="1"/>
        <v>0</v>
      </c>
      <c r="BB7" s="455">
        <f t="shared" si="1"/>
        <v>0</v>
      </c>
      <c r="BC7" s="455">
        <f t="shared" si="1"/>
        <v>0</v>
      </c>
      <c r="BD7" s="455">
        <f t="shared" si="1"/>
        <v>0</v>
      </c>
      <c r="BE7" s="455">
        <f t="shared" si="1"/>
        <v>0</v>
      </c>
      <c r="BF7" s="455">
        <f t="shared" si="1"/>
        <v>0</v>
      </c>
    </row>
    <row r="8" spans="1:58" s="456" customFormat="1" ht="17.45">
      <c r="A8" s="450"/>
      <c r="B8" s="452"/>
      <c r="C8" s="452"/>
      <c r="D8" s="452"/>
      <c r="E8" s="452"/>
      <c r="F8" s="452"/>
      <c r="G8" s="452"/>
      <c r="H8" s="453"/>
      <c r="I8" s="452"/>
      <c r="J8" s="452"/>
      <c r="K8" s="454"/>
      <c r="L8" s="451"/>
      <c r="M8" s="457"/>
      <c r="N8" s="458"/>
      <c r="O8" s="458"/>
      <c r="P8" s="458"/>
      <c r="Q8" s="458"/>
      <c r="R8" s="458"/>
      <c r="S8" s="458"/>
      <c r="T8" s="458"/>
      <c r="U8" s="458"/>
      <c r="V8" s="458"/>
      <c r="W8" s="458"/>
      <c r="X8" s="458"/>
      <c r="Y8" s="458"/>
      <c r="Z8" s="458"/>
      <c r="AA8" s="458"/>
      <c r="AB8" s="458"/>
      <c r="AC8" s="458"/>
      <c r="AD8" s="458"/>
      <c r="AE8" s="458"/>
      <c r="AF8" s="458"/>
      <c r="AG8" s="458"/>
      <c r="AH8" s="458"/>
      <c r="AI8" s="458"/>
      <c r="AJ8" s="458"/>
      <c r="AK8" s="458"/>
      <c r="AL8" s="458"/>
      <c r="AM8" s="458"/>
      <c r="AN8" s="458"/>
      <c r="AO8" s="458"/>
      <c r="AP8" s="458"/>
      <c r="AQ8" s="458"/>
    </row>
    <row r="9" spans="1:58" ht="15.6">
      <c r="A9" s="450">
        <v>1</v>
      </c>
      <c r="B9" s="452">
        <f>SUMIF('04a_PROPUESTA_MO'!$R$9:$R$42,'07c_ATC_Ajustado'!A9,'04a_PROPUESTA_MO'!$T$9:$T$42)</f>
        <v>17268.248534736002</v>
      </c>
      <c r="C9" s="452">
        <f>SUMIF('04a_PROPUESTA_MO'!$R$9:$R$42,'07c_ATC_Ajustado'!A9,'04a_PROPUESTA_MO'!$AH$9:$AH$42)</f>
        <v>4744.8667466265179</v>
      </c>
      <c r="D9" s="452">
        <f>SUMIF('04a_PROPUESTA_MO'!$R$9:$R$42,'07c_ATC_Ajustado'!A9,'04a_PROPUESTA_MO'!$AI$9:$AI$42)</f>
        <v>8246.4926012466458</v>
      </c>
      <c r="E9" s="452">
        <f>SUMIF('04a_PROPUESTA_MO'!$R$9:$R$42,'07c_ATC_Ajustado'!A9,'04a_PROPUESTA_MO'!$AJ$9:$AJ$42)</f>
        <v>0</v>
      </c>
      <c r="F9" s="452">
        <f>SUM(C9:E9)</f>
        <v>12991.359347873164</v>
      </c>
      <c r="G9" s="452">
        <f>B9-F9</f>
        <v>4276.889186862838</v>
      </c>
      <c r="H9" s="453">
        <f>G9/$G$7</f>
        <v>7.415904404268131E-2</v>
      </c>
      <c r="I9" s="452">
        <f>G9-J9</f>
        <v>1355.7527193899618</v>
      </c>
      <c r="J9" s="452">
        <f>SUMIF('04a_PROPUESTA_MO'!$R$9:$R$42,'07c_ATC_Ajustado'!A9,'04a_PROPUESTA_MO'!$AN$9:$AN$42)</f>
        <v>2921.1364674728761</v>
      </c>
      <c r="K9" s="459">
        <f>J9/$J$7</f>
        <v>6.6467951356263863E-2</v>
      </c>
      <c r="L9" s="460">
        <f>1+'07b_ATC_Ajuste'!$E$5</f>
        <v>1.1241920002035368</v>
      </c>
      <c r="M9" s="461">
        <f>SUM(M10:M16)</f>
        <v>106329.81169669119</v>
      </c>
      <c r="N9" s="461">
        <f>SUM(N10:N16)</f>
        <v>2921.0667675688637</v>
      </c>
      <c r="O9" s="461">
        <f t="shared" ref="O9:BF9" si="2">SUM(O10:O16)</f>
        <v>3295.2540748366109</v>
      </c>
      <c r="P9" s="461">
        <f t="shared" si="2"/>
        <v>3295.2540748366109</v>
      </c>
      <c r="Q9" s="461">
        <f t="shared" si="2"/>
        <v>3295.2540748366109</v>
      </c>
      <c r="R9" s="461">
        <f t="shared" si="2"/>
        <v>0</v>
      </c>
      <c r="S9" s="461">
        <f t="shared" si="2"/>
        <v>3016.8704098262097</v>
      </c>
      <c r="T9" s="461">
        <f t="shared" si="2"/>
        <v>3016.8704098262097</v>
      </c>
      <c r="U9" s="461">
        <f t="shared" si="2"/>
        <v>3016.8704098262097</v>
      </c>
      <c r="V9" s="461">
        <f t="shared" si="2"/>
        <v>3016.8704098262097</v>
      </c>
      <c r="W9" s="461">
        <f t="shared" si="2"/>
        <v>3016.8704098262097</v>
      </c>
      <c r="X9" s="461">
        <f t="shared" si="2"/>
        <v>3016.8704098262097</v>
      </c>
      <c r="Y9" s="461">
        <f t="shared" si="2"/>
        <v>3016.8704098262097</v>
      </c>
      <c r="Z9" s="461">
        <f t="shared" si="2"/>
        <v>3016.8704098262097</v>
      </c>
      <c r="AA9" s="461">
        <f t="shared" si="2"/>
        <v>3016.8704098262097</v>
      </c>
      <c r="AB9" s="461">
        <f t="shared" si="2"/>
        <v>3016.8704098262097</v>
      </c>
      <c r="AC9" s="461">
        <f t="shared" si="2"/>
        <v>3016.8704098262097</v>
      </c>
      <c r="AD9" s="461">
        <f t="shared" si="2"/>
        <v>3016.8704098262097</v>
      </c>
      <c r="AE9" s="461">
        <f t="shared" si="2"/>
        <v>3016.8704098262097</v>
      </c>
      <c r="AF9" s="461">
        <f t="shared" si="2"/>
        <v>3016.8704098262097</v>
      </c>
      <c r="AG9" s="461">
        <f t="shared" si="2"/>
        <v>3016.8704098262097</v>
      </c>
      <c r="AH9" s="461">
        <f t="shared" si="2"/>
        <v>3016.8704098262097</v>
      </c>
      <c r="AI9" s="461">
        <f t="shared" si="2"/>
        <v>3016.8704098262097</v>
      </c>
      <c r="AJ9" s="461">
        <f t="shared" si="2"/>
        <v>3016.8704098262097</v>
      </c>
      <c r="AK9" s="461">
        <f t="shared" si="2"/>
        <v>3016.8704098262097</v>
      </c>
      <c r="AL9" s="461">
        <f t="shared" si="2"/>
        <v>3016.8704098262097</v>
      </c>
      <c r="AM9" s="461">
        <f t="shared" si="2"/>
        <v>3016.8704098262097</v>
      </c>
      <c r="AN9" s="461">
        <f t="shared" si="2"/>
        <v>3016.8704098262097</v>
      </c>
      <c r="AO9" s="461">
        <f t="shared" si="2"/>
        <v>3016.8704098262097</v>
      </c>
      <c r="AP9" s="461">
        <f t="shared" si="2"/>
        <v>3016.8704098262097</v>
      </c>
      <c r="AQ9" s="461">
        <f t="shared" si="2"/>
        <v>3016.8704098262097</v>
      </c>
      <c r="AR9" s="461">
        <f t="shared" si="2"/>
        <v>3016.8704098262097</v>
      </c>
      <c r="AS9" s="461">
        <f t="shared" si="2"/>
        <v>3016.8704098262097</v>
      </c>
      <c r="AT9" s="461">
        <f t="shared" si="2"/>
        <v>3016.8704098262097</v>
      </c>
      <c r="AU9" s="461">
        <f t="shared" si="2"/>
        <v>3016.8704098262097</v>
      </c>
      <c r="AV9" s="461">
        <f t="shared" si="2"/>
        <v>3016.8704098262097</v>
      </c>
      <c r="AW9" s="461">
        <f t="shared" si="2"/>
        <v>3016.8704098262097</v>
      </c>
      <c r="AX9" s="461">
        <f t="shared" si="2"/>
        <v>0</v>
      </c>
      <c r="AY9" s="461">
        <f t="shared" si="2"/>
        <v>0</v>
      </c>
      <c r="AZ9" s="461">
        <f t="shared" si="2"/>
        <v>0</v>
      </c>
      <c r="BA9" s="461">
        <f t="shared" si="2"/>
        <v>0</v>
      </c>
      <c r="BB9" s="461">
        <f t="shared" si="2"/>
        <v>0</v>
      </c>
      <c r="BC9" s="461">
        <f t="shared" si="2"/>
        <v>0</v>
      </c>
      <c r="BD9" s="461">
        <f t="shared" si="2"/>
        <v>0</v>
      </c>
      <c r="BE9" s="461">
        <f t="shared" si="2"/>
        <v>0</v>
      </c>
      <c r="BF9" s="461">
        <f t="shared" si="2"/>
        <v>0</v>
      </c>
    </row>
    <row r="10" spans="1:58">
      <c r="A10" s="450"/>
      <c r="B10" s="424"/>
      <c r="C10" s="424"/>
      <c r="D10" s="424"/>
      <c r="E10" s="424"/>
      <c r="F10" s="424"/>
      <c r="G10" s="424"/>
      <c r="H10" s="462"/>
      <c r="I10" s="424"/>
      <c r="J10" s="424"/>
      <c r="K10" s="459"/>
      <c r="L10" s="463" t="str">
        <f>'00_Datos_Mercado'!$B$3</f>
        <v xml:space="preserve">a_CS - Creativos </v>
      </c>
      <c r="M10" s="429">
        <f>SUM(N10:BF10)</f>
        <v>0</v>
      </c>
      <c r="N10" s="427">
        <f>IFERROR('07a_ATC'!N10*'07c_ATC_Ajustado'!$L$9,0)</f>
        <v>0</v>
      </c>
      <c r="O10" s="427">
        <f>IFERROR('07a_ATC'!O10*'07c_ATC_Ajustado'!$L$9,0)</f>
        <v>0</v>
      </c>
      <c r="P10" s="427">
        <f>IFERROR('07a_ATC'!P10*'07c_ATC_Ajustado'!$L$9,0)</f>
        <v>0</v>
      </c>
      <c r="Q10" s="427">
        <f>IFERROR('07a_ATC'!Q10*'07c_ATC_Ajustado'!$L$9,0)</f>
        <v>0</v>
      </c>
      <c r="R10" s="427">
        <f>IFERROR('07a_ATC'!R10*'07c_ATC_Ajustado'!$L$9,0)</f>
        <v>0</v>
      </c>
      <c r="S10" s="427">
        <f>IFERROR('07a_ATC'!S10*'07c_ATC_Ajustado'!$L$9,0)</f>
        <v>0</v>
      </c>
      <c r="T10" s="427">
        <f>IFERROR('07a_ATC'!T10*'07c_ATC_Ajustado'!$L$9,0)</f>
        <v>0</v>
      </c>
      <c r="U10" s="427">
        <f>IFERROR('07a_ATC'!U10*'07c_ATC_Ajustado'!$L$9,0)</f>
        <v>0</v>
      </c>
      <c r="V10" s="427">
        <f>IFERROR('07a_ATC'!V10*'07c_ATC_Ajustado'!$L$9,0)</f>
        <v>0</v>
      </c>
      <c r="W10" s="427">
        <f>IFERROR('07a_ATC'!W10*'07c_ATC_Ajustado'!$L$9,0)</f>
        <v>0</v>
      </c>
      <c r="X10" s="427">
        <f>IFERROR('07a_ATC'!X10*'07c_ATC_Ajustado'!$L$9,0)</f>
        <v>0</v>
      </c>
      <c r="Y10" s="427">
        <f>IFERROR('07a_ATC'!Y10*'07c_ATC_Ajustado'!$L$9,0)</f>
        <v>0</v>
      </c>
      <c r="Z10" s="427">
        <f>IFERROR('07a_ATC'!Z10*'07c_ATC_Ajustado'!$L$9,0)</f>
        <v>0</v>
      </c>
      <c r="AA10" s="427">
        <f>IFERROR('07a_ATC'!AA10*'07c_ATC_Ajustado'!$L$9,0)</f>
        <v>0</v>
      </c>
      <c r="AB10" s="427">
        <f>IFERROR('07a_ATC'!AB10*'07c_ATC_Ajustado'!$L$9,0)</f>
        <v>0</v>
      </c>
      <c r="AC10" s="427">
        <f>IFERROR('07a_ATC'!AC10*'07c_ATC_Ajustado'!$L$9,0)</f>
        <v>0</v>
      </c>
      <c r="AD10" s="427">
        <f>IFERROR('07a_ATC'!AD10*'07c_ATC_Ajustado'!$L$9,0)</f>
        <v>0</v>
      </c>
      <c r="AE10" s="427">
        <f>IFERROR('07a_ATC'!AE10*'07c_ATC_Ajustado'!$L$9,0)</f>
        <v>0</v>
      </c>
      <c r="AF10" s="427">
        <f>IFERROR('07a_ATC'!AF10*'07c_ATC_Ajustado'!$L$9,0)</f>
        <v>0</v>
      </c>
      <c r="AG10" s="427">
        <f>IFERROR('07a_ATC'!AG10*'07c_ATC_Ajustado'!$L$9,0)</f>
        <v>0</v>
      </c>
      <c r="AH10" s="427">
        <f>IFERROR('07a_ATC'!AH10*'07c_ATC_Ajustado'!$L$9,0)</f>
        <v>0</v>
      </c>
      <c r="AI10" s="427">
        <f>IFERROR('07a_ATC'!AI10*'07c_ATC_Ajustado'!$L$9,0)</f>
        <v>0</v>
      </c>
      <c r="AJ10" s="427">
        <f>IFERROR('07a_ATC'!AJ10*'07c_ATC_Ajustado'!$L$9,0)</f>
        <v>0</v>
      </c>
      <c r="AK10" s="427">
        <f>IFERROR('07a_ATC'!AK10*'07c_ATC_Ajustado'!$L$9,0)</f>
        <v>0</v>
      </c>
      <c r="AL10" s="427">
        <f>IFERROR('07a_ATC'!AL10*'07c_ATC_Ajustado'!$L$9,0)</f>
        <v>0</v>
      </c>
      <c r="AM10" s="427">
        <f>IFERROR('07a_ATC'!AM10*'07c_ATC_Ajustado'!$L$9,0)</f>
        <v>0</v>
      </c>
      <c r="AN10" s="427">
        <f>IFERROR('07a_ATC'!AN10*'07c_ATC_Ajustado'!$L$9,0)</f>
        <v>0</v>
      </c>
      <c r="AO10" s="427">
        <f>IFERROR('07a_ATC'!AO10*'07c_ATC_Ajustado'!$L$9,0)</f>
        <v>0</v>
      </c>
      <c r="AP10" s="427">
        <f>IFERROR('07a_ATC'!AP10*'07c_ATC_Ajustado'!$L$9,0)</f>
        <v>0</v>
      </c>
      <c r="AQ10" s="427">
        <f>IFERROR('07a_ATC'!AQ10*'07c_ATC_Ajustado'!$L$9,0)</f>
        <v>0</v>
      </c>
      <c r="AR10" s="427">
        <f>IFERROR('07a_ATC'!AR10*'07c_ATC_Ajustado'!$L$9,0)</f>
        <v>0</v>
      </c>
      <c r="AS10" s="427">
        <f>IFERROR('07a_ATC'!AS10*'07c_ATC_Ajustado'!$L$9,0)</f>
        <v>0</v>
      </c>
      <c r="AT10" s="427">
        <f>IFERROR('07a_ATC'!AT10*'07c_ATC_Ajustado'!$L$9,0)</f>
        <v>0</v>
      </c>
      <c r="AU10" s="427">
        <f>IFERROR('07a_ATC'!AU10*'07c_ATC_Ajustado'!$L$9,0)</f>
        <v>0</v>
      </c>
      <c r="AV10" s="427">
        <f>IFERROR('07a_ATC'!AV10*'07c_ATC_Ajustado'!$L$9,0)</f>
        <v>0</v>
      </c>
      <c r="AW10" s="427">
        <f>IFERROR('07a_ATC'!AW10*'07c_ATC_Ajustado'!$L$9,0)</f>
        <v>0</v>
      </c>
      <c r="AX10" s="427">
        <f>IFERROR('07a_ATC'!AX10*'07c_ATC_Ajustado'!$L$9,0)</f>
        <v>0</v>
      </c>
      <c r="AY10" s="427">
        <f>IFERROR('07a_ATC'!AY10*'07c_ATC_Ajustado'!$L$9,0)</f>
        <v>0</v>
      </c>
      <c r="AZ10" s="427">
        <f>IFERROR('07a_ATC'!AZ10*'07c_ATC_Ajustado'!$L$9,0)</f>
        <v>0</v>
      </c>
      <c r="BA10" s="427">
        <f>IFERROR('07a_ATC'!BA10*'07c_ATC_Ajustado'!$L$9,0)</f>
        <v>0</v>
      </c>
      <c r="BB10" s="427">
        <f>IFERROR('07a_ATC'!BB10*'07c_ATC_Ajustado'!$L$9,0)</f>
        <v>0</v>
      </c>
      <c r="BC10" s="427">
        <f>IFERROR('07a_ATC'!BC10*'07c_ATC_Ajustado'!$L$9,0)</f>
        <v>0</v>
      </c>
      <c r="BD10" s="427">
        <f>IFERROR('07a_ATC'!BD10*'07c_ATC_Ajustado'!$L$9,0)</f>
        <v>0</v>
      </c>
      <c r="BE10" s="427">
        <f>IFERROR('07a_ATC'!BE10*'07c_ATC_Ajustado'!$L$9,0)</f>
        <v>0</v>
      </c>
      <c r="BF10" s="427">
        <f>IFERROR('07a_ATC'!BF10*'07c_ATC_Ajustado'!$L$9,0)</f>
        <v>0</v>
      </c>
    </row>
    <row r="11" spans="1:58">
      <c r="A11" s="450"/>
      <c r="B11" s="424"/>
      <c r="C11" s="424"/>
      <c r="D11" s="424"/>
      <c r="E11" s="424"/>
      <c r="F11" s="424"/>
      <c r="G11" s="424"/>
      <c r="H11" s="462"/>
      <c r="I11" s="424"/>
      <c r="J11" s="424"/>
      <c r="K11" s="459"/>
      <c r="L11" s="464" t="str">
        <f>'00_Datos_Mercado'!$B$4</f>
        <v>b_CS - General (Comercio + Oficinas + Hospedaje)</v>
      </c>
      <c r="M11" s="429">
        <f t="shared" ref="M11:M17" si="3">SUM(N11:BF11)</f>
        <v>12806.828992078696</v>
      </c>
      <c r="N11" s="427">
        <f>IFERROR('07a_ATC'!N11*'07c_ATC_Ajustado'!$L$9,0)</f>
        <v>2921.0667675688637</v>
      </c>
      <c r="O11" s="427">
        <f>IFERROR('07a_ATC'!O11*'07c_ATC_Ajustado'!$L$9,0)</f>
        <v>3295.2540748366109</v>
      </c>
      <c r="P11" s="427">
        <f>IFERROR('07a_ATC'!P11*'07c_ATC_Ajustado'!$L$9,0)</f>
        <v>3295.2540748366109</v>
      </c>
      <c r="Q11" s="427">
        <f>IFERROR('07a_ATC'!Q11*'07c_ATC_Ajustado'!$L$9,0)</f>
        <v>3295.2540748366109</v>
      </c>
      <c r="R11" s="427">
        <f>IFERROR('07a_ATC'!R11*'07c_ATC_Ajustado'!$L$9,0)</f>
        <v>0</v>
      </c>
      <c r="S11" s="427">
        <f>IFERROR('07a_ATC'!S11*'07c_ATC_Ajustado'!$L$9,0)</f>
        <v>0</v>
      </c>
      <c r="T11" s="427">
        <f>IFERROR('07a_ATC'!T11*'07c_ATC_Ajustado'!$L$9,0)</f>
        <v>0</v>
      </c>
      <c r="U11" s="427">
        <f>IFERROR('07a_ATC'!U11*'07c_ATC_Ajustado'!$L$9,0)</f>
        <v>0</v>
      </c>
      <c r="V11" s="427">
        <f>IFERROR('07a_ATC'!V11*'07c_ATC_Ajustado'!$L$9,0)</f>
        <v>0</v>
      </c>
      <c r="W11" s="427">
        <f>IFERROR('07a_ATC'!W11*'07c_ATC_Ajustado'!$L$9,0)</f>
        <v>0</v>
      </c>
      <c r="X11" s="427">
        <f>IFERROR('07a_ATC'!X11*'07c_ATC_Ajustado'!$L$9,0)</f>
        <v>0</v>
      </c>
      <c r="Y11" s="427">
        <f>IFERROR('07a_ATC'!Y11*'07c_ATC_Ajustado'!$L$9,0)</f>
        <v>0</v>
      </c>
      <c r="Z11" s="427">
        <f>IFERROR('07a_ATC'!Z11*'07c_ATC_Ajustado'!$L$9,0)</f>
        <v>0</v>
      </c>
      <c r="AA11" s="427">
        <f>IFERROR('07a_ATC'!AA11*'07c_ATC_Ajustado'!$L$9,0)</f>
        <v>0</v>
      </c>
      <c r="AB11" s="427">
        <f>IFERROR('07a_ATC'!AB11*'07c_ATC_Ajustado'!$L$9,0)</f>
        <v>0</v>
      </c>
      <c r="AC11" s="427">
        <f>IFERROR('07a_ATC'!AC11*'07c_ATC_Ajustado'!$L$9,0)</f>
        <v>0</v>
      </c>
      <c r="AD11" s="427">
        <f>IFERROR('07a_ATC'!AD11*'07c_ATC_Ajustado'!$L$9,0)</f>
        <v>0</v>
      </c>
      <c r="AE11" s="427">
        <f>IFERROR('07a_ATC'!AE11*'07c_ATC_Ajustado'!$L$9,0)</f>
        <v>0</v>
      </c>
      <c r="AF11" s="427">
        <f>IFERROR('07a_ATC'!AF11*'07c_ATC_Ajustado'!$L$9,0)</f>
        <v>0</v>
      </c>
      <c r="AG11" s="427">
        <f>IFERROR('07a_ATC'!AG11*'07c_ATC_Ajustado'!$L$9,0)</f>
        <v>0</v>
      </c>
      <c r="AH11" s="427">
        <f>IFERROR('07a_ATC'!AH11*'07c_ATC_Ajustado'!$L$9,0)</f>
        <v>0</v>
      </c>
      <c r="AI11" s="427">
        <f>IFERROR('07a_ATC'!AI11*'07c_ATC_Ajustado'!$L$9,0)</f>
        <v>0</v>
      </c>
      <c r="AJ11" s="427">
        <f>IFERROR('07a_ATC'!AJ11*'07c_ATC_Ajustado'!$L$9,0)</f>
        <v>0</v>
      </c>
      <c r="AK11" s="427">
        <f>IFERROR('07a_ATC'!AK11*'07c_ATC_Ajustado'!$L$9,0)</f>
        <v>0</v>
      </c>
      <c r="AL11" s="427">
        <f>IFERROR('07a_ATC'!AL11*'07c_ATC_Ajustado'!$L$9,0)</f>
        <v>0</v>
      </c>
      <c r="AM11" s="427">
        <f>IFERROR('07a_ATC'!AM11*'07c_ATC_Ajustado'!$L$9,0)</f>
        <v>0</v>
      </c>
      <c r="AN11" s="427">
        <f>IFERROR('07a_ATC'!AN11*'07c_ATC_Ajustado'!$L$9,0)</f>
        <v>0</v>
      </c>
      <c r="AO11" s="427">
        <f>IFERROR('07a_ATC'!AO11*'07c_ATC_Ajustado'!$L$9,0)</f>
        <v>0</v>
      </c>
      <c r="AP11" s="427">
        <f>IFERROR('07a_ATC'!AP11*'07c_ATC_Ajustado'!$L$9,0)</f>
        <v>0</v>
      </c>
      <c r="AQ11" s="427">
        <f>IFERROR('07a_ATC'!AQ11*'07c_ATC_Ajustado'!$L$9,0)</f>
        <v>0</v>
      </c>
      <c r="AR11" s="427">
        <f>IFERROR('07a_ATC'!AR11*'07c_ATC_Ajustado'!$L$9,0)</f>
        <v>0</v>
      </c>
      <c r="AS11" s="427">
        <f>IFERROR('07a_ATC'!AS11*'07c_ATC_Ajustado'!$L$9,0)</f>
        <v>0</v>
      </c>
      <c r="AT11" s="427">
        <f>IFERROR('07a_ATC'!AT11*'07c_ATC_Ajustado'!$L$9,0)</f>
        <v>0</v>
      </c>
      <c r="AU11" s="427">
        <f>IFERROR('07a_ATC'!AU11*'07c_ATC_Ajustado'!$L$9,0)</f>
        <v>0</v>
      </c>
      <c r="AV11" s="427">
        <f>IFERROR('07a_ATC'!AV11*'07c_ATC_Ajustado'!$L$9,0)</f>
        <v>0</v>
      </c>
      <c r="AW11" s="427">
        <f>IFERROR('07a_ATC'!AW11*'07c_ATC_Ajustado'!$L$9,0)</f>
        <v>0</v>
      </c>
      <c r="AX11" s="427">
        <f>IFERROR('07a_ATC'!AX11*'07c_ATC_Ajustado'!$L$9,0)</f>
        <v>0</v>
      </c>
      <c r="AY11" s="427">
        <f>IFERROR('07a_ATC'!AY11*'07c_ATC_Ajustado'!$L$9,0)</f>
        <v>0</v>
      </c>
      <c r="AZ11" s="427">
        <f>IFERROR('07a_ATC'!AZ11*'07c_ATC_Ajustado'!$L$9,0)</f>
        <v>0</v>
      </c>
      <c r="BA11" s="427">
        <f>IFERROR('07a_ATC'!BA11*'07c_ATC_Ajustado'!$L$9,0)</f>
        <v>0</v>
      </c>
      <c r="BB11" s="427">
        <f>IFERROR('07a_ATC'!BB11*'07c_ATC_Ajustado'!$L$9,0)</f>
        <v>0</v>
      </c>
      <c r="BC11" s="427">
        <f>IFERROR('07a_ATC'!BC11*'07c_ATC_Ajustado'!$L$9,0)</f>
        <v>0</v>
      </c>
      <c r="BD11" s="427">
        <f>IFERROR('07a_ATC'!BD11*'07c_ATC_Ajustado'!$L$9,0)</f>
        <v>0</v>
      </c>
      <c r="BE11" s="427">
        <f>IFERROR('07a_ATC'!BE11*'07c_ATC_Ajustado'!$L$9,0)</f>
        <v>0</v>
      </c>
      <c r="BF11" s="427">
        <f>IFERROR('07a_ATC'!BF11*'07c_ATC_Ajustado'!$L$9,0)</f>
        <v>0</v>
      </c>
    </row>
    <row r="12" spans="1:58">
      <c r="A12" s="450"/>
      <c r="B12" s="424"/>
      <c r="C12" s="424"/>
      <c r="D12" s="424"/>
      <c r="E12" s="424"/>
      <c r="F12" s="424"/>
      <c r="G12" s="424"/>
      <c r="H12" s="462"/>
      <c r="I12" s="424"/>
      <c r="J12" s="424"/>
      <c r="K12" s="459"/>
      <c r="L12" s="465" t="str">
        <f>'00_Datos_Mercado'!$B$5</f>
        <v>c_CS - Grandes Superficies</v>
      </c>
      <c r="M12" s="429">
        <f t="shared" si="3"/>
        <v>0</v>
      </c>
      <c r="N12" s="427">
        <f>IFERROR('07a_ATC'!N12*'07c_ATC_Ajustado'!$L$9,0)</f>
        <v>0</v>
      </c>
      <c r="O12" s="427">
        <f>IFERROR('07a_ATC'!O12*'07c_ATC_Ajustado'!$L$9,0)</f>
        <v>0</v>
      </c>
      <c r="P12" s="427">
        <f>IFERROR('07a_ATC'!P12*'07c_ATC_Ajustado'!$L$9,0)</f>
        <v>0</v>
      </c>
      <c r="Q12" s="427">
        <f>IFERROR('07a_ATC'!Q12*'07c_ATC_Ajustado'!$L$9,0)</f>
        <v>0</v>
      </c>
      <c r="R12" s="427">
        <f>IFERROR('07a_ATC'!R12*'07c_ATC_Ajustado'!$L$9,0)</f>
        <v>0</v>
      </c>
      <c r="S12" s="427">
        <f>IFERROR('07a_ATC'!S12*'07c_ATC_Ajustado'!$L$9,0)</f>
        <v>0</v>
      </c>
      <c r="T12" s="427">
        <f>IFERROR('07a_ATC'!T12*'07c_ATC_Ajustado'!$L$9,0)</f>
        <v>0</v>
      </c>
      <c r="U12" s="427">
        <f>IFERROR('07a_ATC'!U12*'07c_ATC_Ajustado'!$L$9,0)</f>
        <v>0</v>
      </c>
      <c r="V12" s="427">
        <f>IFERROR('07a_ATC'!V12*'07c_ATC_Ajustado'!$L$9,0)</f>
        <v>0</v>
      </c>
      <c r="W12" s="427">
        <f>IFERROR('07a_ATC'!W12*'07c_ATC_Ajustado'!$L$9,0)</f>
        <v>0</v>
      </c>
      <c r="X12" s="427">
        <f>IFERROR('07a_ATC'!X12*'07c_ATC_Ajustado'!$L$9,0)</f>
        <v>0</v>
      </c>
      <c r="Y12" s="427">
        <f>IFERROR('07a_ATC'!Y12*'07c_ATC_Ajustado'!$L$9,0)</f>
        <v>0</v>
      </c>
      <c r="Z12" s="427">
        <f>IFERROR('07a_ATC'!Z12*'07c_ATC_Ajustado'!$L$9,0)</f>
        <v>0</v>
      </c>
      <c r="AA12" s="427">
        <f>IFERROR('07a_ATC'!AA12*'07c_ATC_Ajustado'!$L$9,0)</f>
        <v>0</v>
      </c>
      <c r="AB12" s="427">
        <f>IFERROR('07a_ATC'!AB12*'07c_ATC_Ajustado'!$L$9,0)</f>
        <v>0</v>
      </c>
      <c r="AC12" s="427">
        <f>IFERROR('07a_ATC'!AC12*'07c_ATC_Ajustado'!$L$9,0)</f>
        <v>0</v>
      </c>
      <c r="AD12" s="427">
        <f>IFERROR('07a_ATC'!AD12*'07c_ATC_Ajustado'!$L$9,0)</f>
        <v>0</v>
      </c>
      <c r="AE12" s="427">
        <f>IFERROR('07a_ATC'!AE12*'07c_ATC_Ajustado'!$L$9,0)</f>
        <v>0</v>
      </c>
      <c r="AF12" s="427">
        <f>IFERROR('07a_ATC'!AF12*'07c_ATC_Ajustado'!$L$9,0)</f>
        <v>0</v>
      </c>
      <c r="AG12" s="427">
        <f>IFERROR('07a_ATC'!AG12*'07c_ATC_Ajustado'!$L$9,0)</f>
        <v>0</v>
      </c>
      <c r="AH12" s="427">
        <f>IFERROR('07a_ATC'!AH12*'07c_ATC_Ajustado'!$L$9,0)</f>
        <v>0</v>
      </c>
      <c r="AI12" s="427">
        <f>IFERROR('07a_ATC'!AI12*'07c_ATC_Ajustado'!$L$9,0)</f>
        <v>0</v>
      </c>
      <c r="AJ12" s="427">
        <f>IFERROR('07a_ATC'!AJ12*'07c_ATC_Ajustado'!$L$9,0)</f>
        <v>0</v>
      </c>
      <c r="AK12" s="427">
        <f>IFERROR('07a_ATC'!AK12*'07c_ATC_Ajustado'!$L$9,0)</f>
        <v>0</v>
      </c>
      <c r="AL12" s="427">
        <f>IFERROR('07a_ATC'!AL12*'07c_ATC_Ajustado'!$L$9,0)</f>
        <v>0</v>
      </c>
      <c r="AM12" s="427">
        <f>IFERROR('07a_ATC'!AM12*'07c_ATC_Ajustado'!$L$9,0)</f>
        <v>0</v>
      </c>
      <c r="AN12" s="427">
        <f>IFERROR('07a_ATC'!AN12*'07c_ATC_Ajustado'!$L$9,0)</f>
        <v>0</v>
      </c>
      <c r="AO12" s="427">
        <f>IFERROR('07a_ATC'!AO12*'07c_ATC_Ajustado'!$L$9,0)</f>
        <v>0</v>
      </c>
      <c r="AP12" s="427">
        <f>IFERROR('07a_ATC'!AP12*'07c_ATC_Ajustado'!$L$9,0)</f>
        <v>0</v>
      </c>
      <c r="AQ12" s="427">
        <f>IFERROR('07a_ATC'!AQ12*'07c_ATC_Ajustado'!$L$9,0)</f>
        <v>0</v>
      </c>
      <c r="AR12" s="427">
        <f>IFERROR('07a_ATC'!AR12*'07c_ATC_Ajustado'!$L$9,0)</f>
        <v>0</v>
      </c>
      <c r="AS12" s="427">
        <f>IFERROR('07a_ATC'!AS12*'07c_ATC_Ajustado'!$L$9,0)</f>
        <v>0</v>
      </c>
      <c r="AT12" s="427">
        <f>IFERROR('07a_ATC'!AT12*'07c_ATC_Ajustado'!$L$9,0)</f>
        <v>0</v>
      </c>
      <c r="AU12" s="427">
        <f>IFERROR('07a_ATC'!AU12*'07c_ATC_Ajustado'!$L$9,0)</f>
        <v>0</v>
      </c>
      <c r="AV12" s="427">
        <f>IFERROR('07a_ATC'!AV12*'07c_ATC_Ajustado'!$L$9,0)</f>
        <v>0</v>
      </c>
      <c r="AW12" s="427">
        <f>IFERROR('07a_ATC'!AW12*'07c_ATC_Ajustado'!$L$9,0)</f>
        <v>0</v>
      </c>
      <c r="AX12" s="427">
        <f>IFERROR('07a_ATC'!AX12*'07c_ATC_Ajustado'!$L$9,0)</f>
        <v>0</v>
      </c>
      <c r="AY12" s="427">
        <f>IFERROR('07a_ATC'!AY12*'07c_ATC_Ajustado'!$L$9,0)</f>
        <v>0</v>
      </c>
      <c r="AZ12" s="427">
        <f>IFERROR('07a_ATC'!AZ12*'07c_ATC_Ajustado'!$L$9,0)</f>
        <v>0</v>
      </c>
      <c r="BA12" s="427">
        <f>IFERROR('07a_ATC'!BA12*'07c_ATC_Ajustado'!$L$9,0)</f>
        <v>0</v>
      </c>
      <c r="BB12" s="427">
        <f>IFERROR('07a_ATC'!BB12*'07c_ATC_Ajustado'!$L$9,0)</f>
        <v>0</v>
      </c>
      <c r="BC12" s="427">
        <f>IFERROR('07a_ATC'!BC12*'07c_ATC_Ajustado'!$L$9,0)</f>
        <v>0</v>
      </c>
      <c r="BD12" s="427">
        <f>IFERROR('07a_ATC'!BD12*'07c_ATC_Ajustado'!$L$9,0)</f>
        <v>0</v>
      </c>
      <c r="BE12" s="427">
        <f>IFERROR('07a_ATC'!BE12*'07c_ATC_Ajustado'!$L$9,0)</f>
        <v>0</v>
      </c>
      <c r="BF12" s="427">
        <f>IFERROR('07a_ATC'!BF12*'07c_ATC_Ajustado'!$L$9,0)</f>
        <v>0</v>
      </c>
    </row>
    <row r="13" spans="1:58">
      <c r="A13" s="450"/>
      <c r="B13" s="424"/>
      <c r="C13" s="424"/>
      <c r="D13" s="424"/>
      <c r="E13" s="424"/>
      <c r="F13" s="424"/>
      <c r="G13" s="424"/>
      <c r="H13" s="462"/>
      <c r="I13" s="424"/>
      <c r="J13" s="424"/>
      <c r="K13" s="459"/>
      <c r="L13" s="466" t="str">
        <f>'00_Datos_Mercado'!$B$6</f>
        <v>d_CS - Torre Empresarial (Oficinas + Hospedaje)</v>
      </c>
      <c r="M13" s="429">
        <f t="shared" si="3"/>
        <v>93522.982704612499</v>
      </c>
      <c r="N13" s="427">
        <f>IFERROR('07a_ATC'!N13*'07c_ATC_Ajustado'!$L$9,0)</f>
        <v>0</v>
      </c>
      <c r="O13" s="427">
        <f>IFERROR('07a_ATC'!O13*'07c_ATC_Ajustado'!$L$9,0)</f>
        <v>0</v>
      </c>
      <c r="P13" s="427">
        <f>IFERROR('07a_ATC'!P13*'07c_ATC_Ajustado'!$L$9,0)</f>
        <v>0</v>
      </c>
      <c r="Q13" s="427">
        <f>IFERROR('07a_ATC'!Q13*'07c_ATC_Ajustado'!$L$9,0)</f>
        <v>0</v>
      </c>
      <c r="R13" s="427">
        <f>IFERROR('07a_ATC'!R13*'07c_ATC_Ajustado'!$L$9,0)</f>
        <v>0</v>
      </c>
      <c r="S13" s="427">
        <f>IFERROR('07a_ATC'!S13*'07c_ATC_Ajustado'!$L$9,0)</f>
        <v>3016.8704098262097</v>
      </c>
      <c r="T13" s="427">
        <f>IFERROR('07a_ATC'!T13*'07c_ATC_Ajustado'!$L$9,0)</f>
        <v>3016.8704098262097</v>
      </c>
      <c r="U13" s="427">
        <f>IFERROR('07a_ATC'!U13*'07c_ATC_Ajustado'!$L$9,0)</f>
        <v>3016.8704098262097</v>
      </c>
      <c r="V13" s="427">
        <f>IFERROR('07a_ATC'!V13*'07c_ATC_Ajustado'!$L$9,0)</f>
        <v>3016.8704098262097</v>
      </c>
      <c r="W13" s="427">
        <f>IFERROR('07a_ATC'!W13*'07c_ATC_Ajustado'!$L$9,0)</f>
        <v>3016.8704098262097</v>
      </c>
      <c r="X13" s="427">
        <f>IFERROR('07a_ATC'!X13*'07c_ATC_Ajustado'!$L$9,0)</f>
        <v>3016.8704098262097</v>
      </c>
      <c r="Y13" s="427">
        <f>IFERROR('07a_ATC'!Y13*'07c_ATC_Ajustado'!$L$9,0)</f>
        <v>3016.8704098262097</v>
      </c>
      <c r="Z13" s="427">
        <f>IFERROR('07a_ATC'!Z13*'07c_ATC_Ajustado'!$L$9,0)</f>
        <v>3016.8704098262097</v>
      </c>
      <c r="AA13" s="427">
        <f>IFERROR('07a_ATC'!AA13*'07c_ATC_Ajustado'!$L$9,0)</f>
        <v>3016.8704098262097</v>
      </c>
      <c r="AB13" s="427">
        <f>IFERROR('07a_ATC'!AB13*'07c_ATC_Ajustado'!$L$9,0)</f>
        <v>3016.8704098262097</v>
      </c>
      <c r="AC13" s="427">
        <f>IFERROR('07a_ATC'!AC13*'07c_ATC_Ajustado'!$L$9,0)</f>
        <v>3016.8704098262097</v>
      </c>
      <c r="AD13" s="427">
        <f>IFERROR('07a_ATC'!AD13*'07c_ATC_Ajustado'!$L$9,0)</f>
        <v>3016.8704098262097</v>
      </c>
      <c r="AE13" s="427">
        <f>IFERROR('07a_ATC'!AE13*'07c_ATC_Ajustado'!$L$9,0)</f>
        <v>3016.8704098262097</v>
      </c>
      <c r="AF13" s="427">
        <f>IFERROR('07a_ATC'!AF13*'07c_ATC_Ajustado'!$L$9,0)</f>
        <v>3016.8704098262097</v>
      </c>
      <c r="AG13" s="427">
        <f>IFERROR('07a_ATC'!AG13*'07c_ATC_Ajustado'!$L$9,0)</f>
        <v>3016.8704098262097</v>
      </c>
      <c r="AH13" s="427">
        <f>IFERROR('07a_ATC'!AH13*'07c_ATC_Ajustado'!$L$9,0)</f>
        <v>3016.8704098262097</v>
      </c>
      <c r="AI13" s="427">
        <f>IFERROR('07a_ATC'!AI13*'07c_ATC_Ajustado'!$L$9,0)</f>
        <v>3016.8704098262097</v>
      </c>
      <c r="AJ13" s="427">
        <f>IFERROR('07a_ATC'!AJ13*'07c_ATC_Ajustado'!$L$9,0)</f>
        <v>3016.8704098262097</v>
      </c>
      <c r="AK13" s="427">
        <f>IFERROR('07a_ATC'!AK13*'07c_ATC_Ajustado'!$L$9,0)</f>
        <v>3016.8704098262097</v>
      </c>
      <c r="AL13" s="427">
        <f>IFERROR('07a_ATC'!AL13*'07c_ATC_Ajustado'!$L$9,0)</f>
        <v>3016.8704098262097</v>
      </c>
      <c r="AM13" s="427">
        <f>IFERROR('07a_ATC'!AM13*'07c_ATC_Ajustado'!$L$9,0)</f>
        <v>3016.8704098262097</v>
      </c>
      <c r="AN13" s="427">
        <f>IFERROR('07a_ATC'!AN13*'07c_ATC_Ajustado'!$L$9,0)</f>
        <v>3016.8704098262097</v>
      </c>
      <c r="AO13" s="427">
        <f>IFERROR('07a_ATC'!AO13*'07c_ATC_Ajustado'!$L$9,0)</f>
        <v>3016.8704098262097</v>
      </c>
      <c r="AP13" s="427">
        <f>IFERROR('07a_ATC'!AP13*'07c_ATC_Ajustado'!$L$9,0)</f>
        <v>3016.8704098262097</v>
      </c>
      <c r="AQ13" s="427">
        <f>IFERROR('07a_ATC'!AQ13*'07c_ATC_Ajustado'!$L$9,0)</f>
        <v>3016.8704098262097</v>
      </c>
      <c r="AR13" s="427">
        <f>IFERROR('07a_ATC'!AR13*'07c_ATC_Ajustado'!$L$9,0)</f>
        <v>3016.8704098262097</v>
      </c>
      <c r="AS13" s="427">
        <f>IFERROR('07a_ATC'!AS13*'07c_ATC_Ajustado'!$L$9,0)</f>
        <v>3016.8704098262097</v>
      </c>
      <c r="AT13" s="427">
        <f>IFERROR('07a_ATC'!AT13*'07c_ATC_Ajustado'!$L$9,0)</f>
        <v>3016.8704098262097</v>
      </c>
      <c r="AU13" s="427">
        <f>IFERROR('07a_ATC'!AU13*'07c_ATC_Ajustado'!$L$9,0)</f>
        <v>3016.8704098262097</v>
      </c>
      <c r="AV13" s="427">
        <f>IFERROR('07a_ATC'!AV13*'07c_ATC_Ajustado'!$L$9,0)</f>
        <v>3016.8704098262097</v>
      </c>
      <c r="AW13" s="427">
        <f>IFERROR('07a_ATC'!AW13*'07c_ATC_Ajustado'!$L$9,0)</f>
        <v>3016.8704098262097</v>
      </c>
      <c r="AX13" s="427">
        <f>IFERROR('07a_ATC'!AX13*'07c_ATC_Ajustado'!$L$9,0)</f>
        <v>0</v>
      </c>
      <c r="AY13" s="427">
        <f>IFERROR('07a_ATC'!AY13*'07c_ATC_Ajustado'!$L$9,0)</f>
        <v>0</v>
      </c>
      <c r="AZ13" s="427">
        <f>IFERROR('07a_ATC'!AZ13*'07c_ATC_Ajustado'!$L$9,0)</f>
        <v>0</v>
      </c>
      <c r="BA13" s="427">
        <f>IFERROR('07a_ATC'!BA13*'07c_ATC_Ajustado'!$L$9,0)</f>
        <v>0</v>
      </c>
      <c r="BB13" s="427">
        <f>IFERROR('07a_ATC'!BB13*'07c_ATC_Ajustado'!$L$9,0)</f>
        <v>0</v>
      </c>
      <c r="BC13" s="427">
        <f>IFERROR('07a_ATC'!BC13*'07c_ATC_Ajustado'!$L$9,0)</f>
        <v>0</v>
      </c>
      <c r="BD13" s="427">
        <f>IFERROR('07a_ATC'!BD13*'07c_ATC_Ajustado'!$L$9,0)</f>
        <v>0</v>
      </c>
      <c r="BE13" s="427">
        <f>IFERROR('07a_ATC'!BE13*'07c_ATC_Ajustado'!$L$9,0)</f>
        <v>0</v>
      </c>
      <c r="BF13" s="427">
        <f>IFERROR('07a_ATC'!BF13*'07c_ATC_Ajustado'!$L$9,0)</f>
        <v>0</v>
      </c>
    </row>
    <row r="14" spans="1:58">
      <c r="A14" s="450"/>
      <c r="B14" s="424"/>
      <c r="C14" s="424"/>
      <c r="D14" s="424"/>
      <c r="E14" s="424"/>
      <c r="F14" s="424"/>
      <c r="G14" s="424"/>
      <c r="H14" s="462"/>
      <c r="I14" s="424"/>
      <c r="J14" s="424"/>
      <c r="K14" s="459"/>
      <c r="L14" s="467" t="str">
        <f>'00_Datos_Mercado'!$B$7</f>
        <v>e_CS - Innovation (H, CS, Gamers)</v>
      </c>
      <c r="M14" s="429">
        <f t="shared" si="3"/>
        <v>0</v>
      </c>
      <c r="N14" s="427">
        <f>IFERROR('07a_ATC'!N14*'07c_ATC_Ajustado'!$L$9,0)</f>
        <v>0</v>
      </c>
      <c r="O14" s="427">
        <f>IFERROR('07a_ATC'!O14*'07c_ATC_Ajustado'!$L$9,0)</f>
        <v>0</v>
      </c>
      <c r="P14" s="427">
        <f>IFERROR('07a_ATC'!P14*'07c_ATC_Ajustado'!$L$9,0)</f>
        <v>0</v>
      </c>
      <c r="Q14" s="427">
        <f>IFERROR('07a_ATC'!Q14*'07c_ATC_Ajustado'!$L$9,0)</f>
        <v>0</v>
      </c>
      <c r="R14" s="427">
        <f>IFERROR('07a_ATC'!R14*'07c_ATC_Ajustado'!$L$9,0)</f>
        <v>0</v>
      </c>
      <c r="S14" s="427">
        <f>IFERROR('07a_ATC'!S14*'07c_ATC_Ajustado'!$L$9,0)</f>
        <v>0</v>
      </c>
      <c r="T14" s="427">
        <f>IFERROR('07a_ATC'!T14*'07c_ATC_Ajustado'!$L$9,0)</f>
        <v>0</v>
      </c>
      <c r="U14" s="427">
        <f>IFERROR('07a_ATC'!U14*'07c_ATC_Ajustado'!$L$9,0)</f>
        <v>0</v>
      </c>
      <c r="V14" s="427">
        <f>IFERROR('07a_ATC'!V14*'07c_ATC_Ajustado'!$L$9,0)</f>
        <v>0</v>
      </c>
      <c r="W14" s="427">
        <f>IFERROR('07a_ATC'!W14*'07c_ATC_Ajustado'!$L$9,0)</f>
        <v>0</v>
      </c>
      <c r="X14" s="427">
        <f>IFERROR('07a_ATC'!X14*'07c_ATC_Ajustado'!$L$9,0)</f>
        <v>0</v>
      </c>
      <c r="Y14" s="427">
        <f>IFERROR('07a_ATC'!Y14*'07c_ATC_Ajustado'!$L$9,0)</f>
        <v>0</v>
      </c>
      <c r="Z14" s="427">
        <f>IFERROR('07a_ATC'!Z14*'07c_ATC_Ajustado'!$L$9,0)</f>
        <v>0</v>
      </c>
      <c r="AA14" s="427">
        <f>IFERROR('07a_ATC'!AA14*'07c_ATC_Ajustado'!$L$9,0)</f>
        <v>0</v>
      </c>
      <c r="AB14" s="427">
        <f>IFERROR('07a_ATC'!AB14*'07c_ATC_Ajustado'!$L$9,0)</f>
        <v>0</v>
      </c>
      <c r="AC14" s="427">
        <f>IFERROR('07a_ATC'!AC14*'07c_ATC_Ajustado'!$L$9,0)</f>
        <v>0</v>
      </c>
      <c r="AD14" s="427">
        <f>IFERROR('07a_ATC'!AD14*'07c_ATC_Ajustado'!$L$9,0)</f>
        <v>0</v>
      </c>
      <c r="AE14" s="427">
        <f>IFERROR('07a_ATC'!AE14*'07c_ATC_Ajustado'!$L$9,0)</f>
        <v>0</v>
      </c>
      <c r="AF14" s="427">
        <f>IFERROR('07a_ATC'!AF14*'07c_ATC_Ajustado'!$L$9,0)</f>
        <v>0</v>
      </c>
      <c r="AG14" s="427">
        <f>IFERROR('07a_ATC'!AG14*'07c_ATC_Ajustado'!$L$9,0)</f>
        <v>0</v>
      </c>
      <c r="AH14" s="427">
        <f>IFERROR('07a_ATC'!AH14*'07c_ATC_Ajustado'!$L$9,0)</f>
        <v>0</v>
      </c>
      <c r="AI14" s="427">
        <f>IFERROR('07a_ATC'!AI14*'07c_ATC_Ajustado'!$L$9,0)</f>
        <v>0</v>
      </c>
      <c r="AJ14" s="427">
        <f>IFERROR('07a_ATC'!AJ14*'07c_ATC_Ajustado'!$L$9,0)</f>
        <v>0</v>
      </c>
      <c r="AK14" s="427">
        <f>IFERROR('07a_ATC'!AK14*'07c_ATC_Ajustado'!$L$9,0)</f>
        <v>0</v>
      </c>
      <c r="AL14" s="427">
        <f>IFERROR('07a_ATC'!AL14*'07c_ATC_Ajustado'!$L$9,0)</f>
        <v>0</v>
      </c>
      <c r="AM14" s="427">
        <f>IFERROR('07a_ATC'!AM14*'07c_ATC_Ajustado'!$L$9,0)</f>
        <v>0</v>
      </c>
      <c r="AN14" s="427">
        <f>IFERROR('07a_ATC'!AN14*'07c_ATC_Ajustado'!$L$9,0)</f>
        <v>0</v>
      </c>
      <c r="AO14" s="427">
        <f>IFERROR('07a_ATC'!AO14*'07c_ATC_Ajustado'!$L$9,0)</f>
        <v>0</v>
      </c>
      <c r="AP14" s="427">
        <f>IFERROR('07a_ATC'!AP14*'07c_ATC_Ajustado'!$L$9,0)</f>
        <v>0</v>
      </c>
      <c r="AQ14" s="427">
        <f>IFERROR('07a_ATC'!AQ14*'07c_ATC_Ajustado'!$L$9,0)</f>
        <v>0</v>
      </c>
      <c r="AR14" s="427">
        <f>IFERROR('07a_ATC'!AR14*'07c_ATC_Ajustado'!$L$9,0)</f>
        <v>0</v>
      </c>
      <c r="AS14" s="427">
        <f>IFERROR('07a_ATC'!AS14*'07c_ATC_Ajustado'!$L$9,0)</f>
        <v>0</v>
      </c>
      <c r="AT14" s="427">
        <f>IFERROR('07a_ATC'!AT14*'07c_ATC_Ajustado'!$L$9,0)</f>
        <v>0</v>
      </c>
      <c r="AU14" s="427">
        <f>IFERROR('07a_ATC'!AU14*'07c_ATC_Ajustado'!$L$9,0)</f>
        <v>0</v>
      </c>
      <c r="AV14" s="427">
        <f>IFERROR('07a_ATC'!AV14*'07c_ATC_Ajustado'!$L$9,0)</f>
        <v>0</v>
      </c>
      <c r="AW14" s="427">
        <f>IFERROR('07a_ATC'!AW14*'07c_ATC_Ajustado'!$L$9,0)</f>
        <v>0</v>
      </c>
      <c r="AX14" s="427">
        <f>IFERROR('07a_ATC'!AX14*'07c_ATC_Ajustado'!$L$9,0)</f>
        <v>0</v>
      </c>
      <c r="AY14" s="427">
        <f>IFERROR('07a_ATC'!AY14*'07c_ATC_Ajustado'!$L$9,0)</f>
        <v>0</v>
      </c>
      <c r="AZ14" s="427">
        <f>IFERROR('07a_ATC'!AZ14*'07c_ATC_Ajustado'!$L$9,0)</f>
        <v>0</v>
      </c>
      <c r="BA14" s="427">
        <f>IFERROR('07a_ATC'!BA14*'07c_ATC_Ajustado'!$L$9,0)</f>
        <v>0</v>
      </c>
      <c r="BB14" s="427">
        <f>IFERROR('07a_ATC'!BB14*'07c_ATC_Ajustado'!$L$9,0)</f>
        <v>0</v>
      </c>
      <c r="BC14" s="427">
        <f>IFERROR('07a_ATC'!BC14*'07c_ATC_Ajustado'!$L$9,0)</f>
        <v>0</v>
      </c>
      <c r="BD14" s="427">
        <f>IFERROR('07a_ATC'!BD14*'07c_ATC_Ajustado'!$L$9,0)</f>
        <v>0</v>
      </c>
      <c r="BE14" s="427">
        <f>IFERROR('07a_ATC'!BE14*'07c_ATC_Ajustado'!$L$9,0)</f>
        <v>0</v>
      </c>
      <c r="BF14" s="427">
        <f>IFERROR('07a_ATC'!BF14*'07c_ATC_Ajustado'!$L$9,0)</f>
        <v>0</v>
      </c>
    </row>
    <row r="15" spans="1:58">
      <c r="A15" s="450"/>
      <c r="B15" s="424"/>
      <c r="C15" s="424"/>
      <c r="D15" s="424"/>
      <c r="E15" s="424"/>
      <c r="F15" s="424"/>
      <c r="G15" s="424"/>
      <c r="H15" s="462"/>
      <c r="I15" s="424"/>
      <c r="J15" s="424"/>
      <c r="K15" s="459"/>
      <c r="L15" s="468" t="str">
        <f>'00_Datos_Mercado'!$B$8</f>
        <v xml:space="preserve">f_RES - VIS Ru </v>
      </c>
      <c r="M15" s="429">
        <f t="shared" si="3"/>
        <v>0</v>
      </c>
      <c r="N15" s="427">
        <f>IFERROR('07a_ATC'!N15*'07c_ATC_Ajustado'!$L$9,0)</f>
        <v>0</v>
      </c>
      <c r="O15" s="427">
        <f>IFERROR('07a_ATC'!O15*'07c_ATC_Ajustado'!$L$9,0)</f>
        <v>0</v>
      </c>
      <c r="P15" s="427">
        <f>IFERROR('07a_ATC'!P15*'07c_ATC_Ajustado'!$L$9,0)</f>
        <v>0</v>
      </c>
      <c r="Q15" s="427">
        <f>IFERROR('07a_ATC'!Q15*'07c_ATC_Ajustado'!$L$9,0)</f>
        <v>0</v>
      </c>
      <c r="R15" s="427">
        <f>IFERROR('07a_ATC'!R15*'07c_ATC_Ajustado'!$L$9,0)</f>
        <v>0</v>
      </c>
      <c r="S15" s="427">
        <f>IFERROR('07a_ATC'!S15*'07c_ATC_Ajustado'!$L$9,0)</f>
        <v>0</v>
      </c>
      <c r="T15" s="427">
        <f>IFERROR('07a_ATC'!T15*'07c_ATC_Ajustado'!$L$9,0)</f>
        <v>0</v>
      </c>
      <c r="U15" s="427">
        <f>IFERROR('07a_ATC'!U15*'07c_ATC_Ajustado'!$L$9,0)</f>
        <v>0</v>
      </c>
      <c r="V15" s="427">
        <f>IFERROR('07a_ATC'!V15*'07c_ATC_Ajustado'!$L$9,0)</f>
        <v>0</v>
      </c>
      <c r="W15" s="427">
        <f>IFERROR('07a_ATC'!W15*'07c_ATC_Ajustado'!$L$9,0)</f>
        <v>0</v>
      </c>
      <c r="X15" s="427">
        <f>IFERROR('07a_ATC'!X15*'07c_ATC_Ajustado'!$L$9,0)</f>
        <v>0</v>
      </c>
      <c r="Y15" s="427">
        <f>IFERROR('07a_ATC'!Y15*'07c_ATC_Ajustado'!$L$9,0)</f>
        <v>0</v>
      </c>
      <c r="Z15" s="427">
        <f>IFERROR('07a_ATC'!Z15*'07c_ATC_Ajustado'!$L$9,0)</f>
        <v>0</v>
      </c>
      <c r="AA15" s="427">
        <f>IFERROR('07a_ATC'!AA15*'07c_ATC_Ajustado'!$L$9,0)</f>
        <v>0</v>
      </c>
      <c r="AB15" s="427">
        <f>IFERROR('07a_ATC'!AB15*'07c_ATC_Ajustado'!$L$9,0)</f>
        <v>0</v>
      </c>
      <c r="AC15" s="427">
        <f>IFERROR('07a_ATC'!AC15*'07c_ATC_Ajustado'!$L$9,0)</f>
        <v>0</v>
      </c>
      <c r="AD15" s="427">
        <f>IFERROR('07a_ATC'!AD15*'07c_ATC_Ajustado'!$L$9,0)</f>
        <v>0</v>
      </c>
      <c r="AE15" s="427">
        <f>IFERROR('07a_ATC'!AE15*'07c_ATC_Ajustado'!$L$9,0)</f>
        <v>0</v>
      </c>
      <c r="AF15" s="427">
        <f>IFERROR('07a_ATC'!AF15*'07c_ATC_Ajustado'!$L$9,0)</f>
        <v>0</v>
      </c>
      <c r="AG15" s="427">
        <f>IFERROR('07a_ATC'!AG15*'07c_ATC_Ajustado'!$L$9,0)</f>
        <v>0</v>
      </c>
      <c r="AH15" s="427">
        <f>IFERROR('07a_ATC'!AH15*'07c_ATC_Ajustado'!$L$9,0)</f>
        <v>0</v>
      </c>
      <c r="AI15" s="427">
        <f>IFERROR('07a_ATC'!AI15*'07c_ATC_Ajustado'!$L$9,0)</f>
        <v>0</v>
      </c>
      <c r="AJ15" s="427">
        <f>IFERROR('07a_ATC'!AJ15*'07c_ATC_Ajustado'!$L$9,0)</f>
        <v>0</v>
      </c>
      <c r="AK15" s="427">
        <f>IFERROR('07a_ATC'!AK15*'07c_ATC_Ajustado'!$L$9,0)</f>
        <v>0</v>
      </c>
      <c r="AL15" s="427">
        <f>IFERROR('07a_ATC'!AL15*'07c_ATC_Ajustado'!$L$9,0)</f>
        <v>0</v>
      </c>
      <c r="AM15" s="427">
        <f>IFERROR('07a_ATC'!AM15*'07c_ATC_Ajustado'!$L$9,0)</f>
        <v>0</v>
      </c>
      <c r="AN15" s="427">
        <f>IFERROR('07a_ATC'!AN15*'07c_ATC_Ajustado'!$L$9,0)</f>
        <v>0</v>
      </c>
      <c r="AO15" s="427">
        <f>IFERROR('07a_ATC'!AO15*'07c_ATC_Ajustado'!$L$9,0)</f>
        <v>0</v>
      </c>
      <c r="AP15" s="427">
        <f>IFERROR('07a_ATC'!AP15*'07c_ATC_Ajustado'!$L$9,0)</f>
        <v>0</v>
      </c>
      <c r="AQ15" s="427">
        <f>IFERROR('07a_ATC'!AQ15*'07c_ATC_Ajustado'!$L$9,0)</f>
        <v>0</v>
      </c>
      <c r="AR15" s="427">
        <f>IFERROR('07a_ATC'!AR15*'07c_ATC_Ajustado'!$L$9,0)</f>
        <v>0</v>
      </c>
      <c r="AS15" s="427">
        <f>IFERROR('07a_ATC'!AS15*'07c_ATC_Ajustado'!$L$9,0)</f>
        <v>0</v>
      </c>
      <c r="AT15" s="427">
        <f>IFERROR('07a_ATC'!AT15*'07c_ATC_Ajustado'!$L$9,0)</f>
        <v>0</v>
      </c>
      <c r="AU15" s="427">
        <f>IFERROR('07a_ATC'!AU15*'07c_ATC_Ajustado'!$L$9,0)</f>
        <v>0</v>
      </c>
      <c r="AV15" s="427">
        <f>IFERROR('07a_ATC'!AV15*'07c_ATC_Ajustado'!$L$9,0)</f>
        <v>0</v>
      </c>
      <c r="AW15" s="427">
        <f>IFERROR('07a_ATC'!AW15*'07c_ATC_Ajustado'!$L$9,0)</f>
        <v>0</v>
      </c>
      <c r="AX15" s="427">
        <f>IFERROR('07a_ATC'!AX15*'07c_ATC_Ajustado'!$L$9,0)</f>
        <v>0</v>
      </c>
      <c r="AY15" s="427">
        <f>IFERROR('07a_ATC'!AY15*'07c_ATC_Ajustado'!$L$9,0)</f>
        <v>0</v>
      </c>
      <c r="AZ15" s="427">
        <f>IFERROR('07a_ATC'!AZ15*'07c_ATC_Ajustado'!$L$9,0)</f>
        <v>0</v>
      </c>
      <c r="BA15" s="427">
        <f>IFERROR('07a_ATC'!BA15*'07c_ATC_Ajustado'!$L$9,0)</f>
        <v>0</v>
      </c>
      <c r="BB15" s="427">
        <f>IFERROR('07a_ATC'!BB15*'07c_ATC_Ajustado'!$L$9,0)</f>
        <v>0</v>
      </c>
      <c r="BC15" s="427">
        <f>IFERROR('07a_ATC'!BC15*'07c_ATC_Ajustado'!$L$9,0)</f>
        <v>0</v>
      </c>
      <c r="BD15" s="427">
        <f>IFERROR('07a_ATC'!BD15*'07c_ATC_Ajustado'!$L$9,0)</f>
        <v>0</v>
      </c>
      <c r="BE15" s="427">
        <f>IFERROR('07a_ATC'!BE15*'07c_ATC_Ajustado'!$L$9,0)</f>
        <v>0</v>
      </c>
      <c r="BF15" s="427">
        <f>IFERROR('07a_ATC'!BF15*'07c_ATC_Ajustado'!$L$9,0)</f>
        <v>0</v>
      </c>
    </row>
    <row r="16" spans="1:58">
      <c r="A16" s="450"/>
      <c r="B16" s="424"/>
      <c r="C16" s="424"/>
      <c r="D16" s="424"/>
      <c r="E16" s="424"/>
      <c r="F16" s="424"/>
      <c r="G16" s="424"/>
      <c r="H16" s="462"/>
      <c r="I16" s="424"/>
      <c r="J16" s="424"/>
      <c r="K16" s="459"/>
      <c r="L16" s="469" t="str">
        <f>'00_Datos_Mercado'!$B$10</f>
        <v>i_RES - No VIS</v>
      </c>
      <c r="M16" s="429">
        <f t="shared" si="3"/>
        <v>0</v>
      </c>
      <c r="N16" s="427">
        <f>IFERROR('07a_ATC'!N16*'07c_ATC_Ajustado'!$L$9,0)</f>
        <v>0</v>
      </c>
      <c r="O16" s="427">
        <f>IFERROR('07a_ATC'!O16*'07c_ATC_Ajustado'!$L$9,0)</f>
        <v>0</v>
      </c>
      <c r="P16" s="427">
        <f>IFERROR('07a_ATC'!P16*'07c_ATC_Ajustado'!$L$9,0)</f>
        <v>0</v>
      </c>
      <c r="Q16" s="427">
        <f>IFERROR('07a_ATC'!Q16*'07c_ATC_Ajustado'!$L$9,0)</f>
        <v>0</v>
      </c>
      <c r="R16" s="427">
        <f>IFERROR('07a_ATC'!R16*'07c_ATC_Ajustado'!$L$9,0)</f>
        <v>0</v>
      </c>
      <c r="S16" s="427">
        <f>IFERROR('07a_ATC'!S16*'07c_ATC_Ajustado'!$L$9,0)</f>
        <v>0</v>
      </c>
      <c r="T16" s="427">
        <f>IFERROR('07a_ATC'!T16*'07c_ATC_Ajustado'!$L$9,0)</f>
        <v>0</v>
      </c>
      <c r="U16" s="427">
        <f>IFERROR('07a_ATC'!U16*'07c_ATC_Ajustado'!$L$9,0)</f>
        <v>0</v>
      </c>
      <c r="V16" s="427">
        <f>IFERROR('07a_ATC'!V16*'07c_ATC_Ajustado'!$L$9,0)</f>
        <v>0</v>
      </c>
      <c r="W16" s="427">
        <f>IFERROR('07a_ATC'!W16*'07c_ATC_Ajustado'!$L$9,0)</f>
        <v>0</v>
      </c>
      <c r="X16" s="427">
        <f>IFERROR('07a_ATC'!X16*'07c_ATC_Ajustado'!$L$9,0)</f>
        <v>0</v>
      </c>
      <c r="Y16" s="427">
        <f>IFERROR('07a_ATC'!Y16*'07c_ATC_Ajustado'!$L$9,0)</f>
        <v>0</v>
      </c>
      <c r="Z16" s="427">
        <f>IFERROR('07a_ATC'!Z16*'07c_ATC_Ajustado'!$L$9,0)</f>
        <v>0</v>
      </c>
      <c r="AA16" s="427">
        <f>IFERROR('07a_ATC'!AA16*'07c_ATC_Ajustado'!$L$9,0)</f>
        <v>0</v>
      </c>
      <c r="AB16" s="427">
        <f>IFERROR('07a_ATC'!AB16*'07c_ATC_Ajustado'!$L$9,0)</f>
        <v>0</v>
      </c>
      <c r="AC16" s="427">
        <f>IFERROR('07a_ATC'!AC16*'07c_ATC_Ajustado'!$L$9,0)</f>
        <v>0</v>
      </c>
      <c r="AD16" s="427">
        <f>IFERROR('07a_ATC'!AD16*'07c_ATC_Ajustado'!$L$9,0)</f>
        <v>0</v>
      </c>
      <c r="AE16" s="427">
        <f>IFERROR('07a_ATC'!AE16*'07c_ATC_Ajustado'!$L$9,0)</f>
        <v>0</v>
      </c>
      <c r="AF16" s="427">
        <f>IFERROR('07a_ATC'!AF16*'07c_ATC_Ajustado'!$L$9,0)</f>
        <v>0</v>
      </c>
      <c r="AG16" s="427">
        <f>IFERROR('07a_ATC'!AG16*'07c_ATC_Ajustado'!$L$9,0)</f>
        <v>0</v>
      </c>
      <c r="AH16" s="427">
        <f>IFERROR('07a_ATC'!AH16*'07c_ATC_Ajustado'!$L$9,0)</f>
        <v>0</v>
      </c>
      <c r="AI16" s="427">
        <f>IFERROR('07a_ATC'!AI16*'07c_ATC_Ajustado'!$L$9,0)</f>
        <v>0</v>
      </c>
      <c r="AJ16" s="427">
        <f>IFERROR('07a_ATC'!AJ16*'07c_ATC_Ajustado'!$L$9,0)</f>
        <v>0</v>
      </c>
      <c r="AK16" s="427">
        <f>IFERROR('07a_ATC'!AK16*'07c_ATC_Ajustado'!$L$9,0)</f>
        <v>0</v>
      </c>
      <c r="AL16" s="427">
        <f>IFERROR('07a_ATC'!AL16*'07c_ATC_Ajustado'!$L$9,0)</f>
        <v>0</v>
      </c>
      <c r="AM16" s="427">
        <f>IFERROR('07a_ATC'!AM16*'07c_ATC_Ajustado'!$L$9,0)</f>
        <v>0</v>
      </c>
      <c r="AN16" s="427">
        <f>IFERROR('07a_ATC'!AN16*'07c_ATC_Ajustado'!$L$9,0)</f>
        <v>0</v>
      </c>
      <c r="AO16" s="427">
        <f>IFERROR('07a_ATC'!AO16*'07c_ATC_Ajustado'!$L$9,0)</f>
        <v>0</v>
      </c>
      <c r="AP16" s="427">
        <f>IFERROR('07a_ATC'!AP16*'07c_ATC_Ajustado'!$L$9,0)</f>
        <v>0</v>
      </c>
      <c r="AQ16" s="427">
        <f>IFERROR('07a_ATC'!AQ16*'07c_ATC_Ajustado'!$L$9,0)</f>
        <v>0</v>
      </c>
      <c r="AR16" s="427">
        <f>IFERROR('07a_ATC'!AR16*'07c_ATC_Ajustado'!$L$9,0)</f>
        <v>0</v>
      </c>
      <c r="AS16" s="427">
        <f>IFERROR('07a_ATC'!AS16*'07c_ATC_Ajustado'!$L$9,0)</f>
        <v>0</v>
      </c>
      <c r="AT16" s="427">
        <f>IFERROR('07a_ATC'!AT16*'07c_ATC_Ajustado'!$L$9,0)</f>
        <v>0</v>
      </c>
      <c r="AU16" s="427">
        <f>IFERROR('07a_ATC'!AU16*'07c_ATC_Ajustado'!$L$9,0)</f>
        <v>0</v>
      </c>
      <c r="AV16" s="427">
        <f>IFERROR('07a_ATC'!AV16*'07c_ATC_Ajustado'!$L$9,0)</f>
        <v>0</v>
      </c>
      <c r="AW16" s="427">
        <f>IFERROR('07a_ATC'!AW16*'07c_ATC_Ajustado'!$L$9,0)</f>
        <v>0</v>
      </c>
      <c r="AX16" s="427">
        <f>IFERROR('07a_ATC'!AX16*'07c_ATC_Ajustado'!$L$9,0)</f>
        <v>0</v>
      </c>
      <c r="AY16" s="427">
        <f>IFERROR('07a_ATC'!AY16*'07c_ATC_Ajustado'!$L$9,0)</f>
        <v>0</v>
      </c>
      <c r="AZ16" s="427">
        <f>IFERROR('07a_ATC'!AZ16*'07c_ATC_Ajustado'!$L$9,0)</f>
        <v>0</v>
      </c>
      <c r="BA16" s="427">
        <f>IFERROR('07a_ATC'!BA16*'07c_ATC_Ajustado'!$L$9,0)</f>
        <v>0</v>
      </c>
      <c r="BB16" s="427">
        <f>IFERROR('07a_ATC'!BB16*'07c_ATC_Ajustado'!$L$9,0)</f>
        <v>0</v>
      </c>
      <c r="BC16" s="427">
        <f>IFERROR('07a_ATC'!BC16*'07c_ATC_Ajustado'!$L$9,0)</f>
        <v>0</v>
      </c>
      <c r="BD16" s="427">
        <f>IFERROR('07a_ATC'!BD16*'07c_ATC_Ajustado'!$L$9,0)</f>
        <v>0</v>
      </c>
      <c r="BE16" s="427">
        <f>IFERROR('07a_ATC'!BE16*'07c_ATC_Ajustado'!$L$9,0)</f>
        <v>0</v>
      </c>
      <c r="BF16" s="427">
        <f>IFERROR('07a_ATC'!BF16*'07c_ATC_Ajustado'!$L$9,0)</f>
        <v>0</v>
      </c>
    </row>
    <row r="17" spans="1:58">
      <c r="A17" s="450"/>
      <c r="B17" s="424"/>
      <c r="C17" s="424"/>
      <c r="D17" s="424"/>
      <c r="E17" s="424"/>
      <c r="F17" s="424"/>
      <c r="G17" s="424"/>
      <c r="H17" s="462"/>
      <c r="I17" s="424"/>
      <c r="J17" s="424"/>
      <c r="K17" s="459"/>
      <c r="L17" s="470" t="s">
        <v>697</v>
      </c>
      <c r="M17" s="471">
        <f t="shared" si="3"/>
        <v>6033.7408196524193</v>
      </c>
      <c r="N17" s="472">
        <f>IFERROR('07a_ATC'!N17*'07c_ATC_Ajustado'!$L$9,0)</f>
        <v>0</v>
      </c>
      <c r="O17" s="472">
        <f>IFERROR('07a_ATC'!O17*'07c_ATC_Ajustado'!$L$9,0)</f>
        <v>0</v>
      </c>
      <c r="P17" s="472">
        <f>IFERROR('07a_ATC'!P17*'07c_ATC_Ajustado'!$L$9,0)</f>
        <v>0</v>
      </c>
      <c r="Q17" s="472">
        <f>IFERROR('07a_ATC'!Q17*'07c_ATC_Ajustado'!$L$9,0)</f>
        <v>0</v>
      </c>
      <c r="R17" s="472">
        <f>IFERROR('07a_ATC'!R17*'07c_ATC_Ajustado'!$L$9,0)</f>
        <v>3016.8704098262097</v>
      </c>
      <c r="S17" s="472">
        <f>IFERROR('07a_ATC'!S17*'07c_ATC_Ajustado'!$L$9,0)</f>
        <v>0</v>
      </c>
      <c r="T17" s="472">
        <f>IFERROR('07a_ATC'!T17*'07c_ATC_Ajustado'!$L$9,0)</f>
        <v>0</v>
      </c>
      <c r="U17" s="472">
        <f>IFERROR('07a_ATC'!U17*'07c_ATC_Ajustado'!$L$9,0)</f>
        <v>0</v>
      </c>
      <c r="V17" s="472">
        <f>IFERROR('07a_ATC'!V17*'07c_ATC_Ajustado'!$L$9,0)</f>
        <v>0</v>
      </c>
      <c r="W17" s="472">
        <f>IFERROR('07a_ATC'!W17*'07c_ATC_Ajustado'!$L$9,0)</f>
        <v>0</v>
      </c>
      <c r="X17" s="472">
        <f>IFERROR('07a_ATC'!X17*'07c_ATC_Ajustado'!$L$9,0)</f>
        <v>0</v>
      </c>
      <c r="Y17" s="472">
        <f>IFERROR('07a_ATC'!Y17*'07c_ATC_Ajustado'!$L$9,0)</f>
        <v>0</v>
      </c>
      <c r="Z17" s="472">
        <f>IFERROR('07a_ATC'!Z17*'07c_ATC_Ajustado'!$L$9,0)</f>
        <v>0</v>
      </c>
      <c r="AA17" s="472">
        <f>IFERROR('07a_ATC'!AA17*'07c_ATC_Ajustado'!$L$9,0)</f>
        <v>0</v>
      </c>
      <c r="AB17" s="472">
        <f>IFERROR('07a_ATC'!AB17*'07c_ATC_Ajustado'!$L$9,0)</f>
        <v>0</v>
      </c>
      <c r="AC17" s="472">
        <f>IFERROR('07a_ATC'!AC17*'07c_ATC_Ajustado'!$L$9,0)</f>
        <v>0</v>
      </c>
      <c r="AD17" s="472">
        <f>IFERROR('07a_ATC'!AD17*'07c_ATC_Ajustado'!$L$9,0)</f>
        <v>0</v>
      </c>
      <c r="AE17" s="472">
        <f>IFERROR('07a_ATC'!AE17*'07c_ATC_Ajustado'!$L$9,0)</f>
        <v>0</v>
      </c>
      <c r="AF17" s="472">
        <f>IFERROR('07a_ATC'!AF17*'07c_ATC_Ajustado'!$L$9,0)</f>
        <v>0</v>
      </c>
      <c r="AG17" s="472">
        <f>IFERROR('07a_ATC'!AG17*'07c_ATC_Ajustado'!$L$9,0)</f>
        <v>0</v>
      </c>
      <c r="AH17" s="472">
        <f>IFERROR('07a_ATC'!AH17*'07c_ATC_Ajustado'!$L$9,0)</f>
        <v>0</v>
      </c>
      <c r="AI17" s="472">
        <f>IFERROR('07a_ATC'!AI17*'07c_ATC_Ajustado'!$L$9,0)</f>
        <v>0</v>
      </c>
      <c r="AJ17" s="472">
        <f>IFERROR('07a_ATC'!AJ17*'07c_ATC_Ajustado'!$L$9,0)</f>
        <v>0</v>
      </c>
      <c r="AK17" s="472">
        <f>IFERROR('07a_ATC'!AK17*'07c_ATC_Ajustado'!$L$9,0)</f>
        <v>0</v>
      </c>
      <c r="AL17" s="472">
        <f>IFERROR('07a_ATC'!AL17*'07c_ATC_Ajustado'!$L$9,0)</f>
        <v>0</v>
      </c>
      <c r="AM17" s="472">
        <f>IFERROR('07a_ATC'!AM17*'07c_ATC_Ajustado'!$L$9,0)</f>
        <v>0</v>
      </c>
      <c r="AN17" s="472">
        <f>IFERROR('07a_ATC'!AN17*'07c_ATC_Ajustado'!$L$9,0)</f>
        <v>0</v>
      </c>
      <c r="AO17" s="472">
        <f>IFERROR('07a_ATC'!AO17*'07c_ATC_Ajustado'!$L$9,0)</f>
        <v>0</v>
      </c>
      <c r="AP17" s="472">
        <f>IFERROR('07a_ATC'!AP17*'07c_ATC_Ajustado'!$L$9,0)</f>
        <v>0</v>
      </c>
      <c r="AQ17" s="472">
        <f>IFERROR('07a_ATC'!AQ17*'07c_ATC_Ajustado'!$L$9,0)</f>
        <v>0</v>
      </c>
      <c r="AR17" s="472">
        <f>IFERROR('07a_ATC'!AR17*'07c_ATC_Ajustado'!$L$9,0)</f>
        <v>0</v>
      </c>
      <c r="AS17" s="472">
        <f>IFERROR('07a_ATC'!AS17*'07c_ATC_Ajustado'!$L$9,0)</f>
        <v>0</v>
      </c>
      <c r="AT17" s="472">
        <f>IFERROR('07a_ATC'!AT17*'07c_ATC_Ajustado'!$L$9,0)</f>
        <v>0</v>
      </c>
      <c r="AU17" s="472">
        <f>IFERROR('07a_ATC'!AU17*'07c_ATC_Ajustado'!$L$9,0)</f>
        <v>0</v>
      </c>
      <c r="AV17" s="472">
        <f>IFERROR('07a_ATC'!AV17*'07c_ATC_Ajustado'!$L$9,0)</f>
        <v>0</v>
      </c>
      <c r="AW17" s="472">
        <f>IFERROR('07a_ATC'!AW17*'07c_ATC_Ajustado'!$L$9,0)</f>
        <v>0</v>
      </c>
      <c r="AX17" s="472">
        <f>IFERROR('07a_ATC'!AX17*'07c_ATC_Ajustado'!$L$9,0)</f>
        <v>3016.8704098262097</v>
      </c>
      <c r="AY17" s="472">
        <f>IFERROR('07a_ATC'!AY17*'07c_ATC_Ajustado'!$L$9,0)</f>
        <v>0</v>
      </c>
      <c r="AZ17" s="472">
        <f>IFERROR('07a_ATC'!AZ17*'07c_ATC_Ajustado'!$L$9,0)</f>
        <v>0</v>
      </c>
      <c r="BA17" s="472">
        <f>IFERROR('07a_ATC'!BA17*'07c_ATC_Ajustado'!$L$9,0)</f>
        <v>0</v>
      </c>
      <c r="BB17" s="472">
        <f>IFERROR('07a_ATC'!BB17*'07c_ATC_Ajustado'!$L$9,0)</f>
        <v>0</v>
      </c>
      <c r="BC17" s="472">
        <f>IFERROR('07a_ATC'!BC17*'07c_ATC_Ajustado'!$L$9,0)</f>
        <v>0</v>
      </c>
      <c r="BD17" s="472">
        <f>IFERROR('07a_ATC'!BD17*'07c_ATC_Ajustado'!$L$9,0)</f>
        <v>0</v>
      </c>
      <c r="BE17" s="472">
        <f>IFERROR('07a_ATC'!BE17*'07c_ATC_Ajustado'!$L$9,0)</f>
        <v>0</v>
      </c>
      <c r="BF17" s="472">
        <f>IFERROR('07a_ATC'!BF17*'07c_ATC_Ajustado'!$L$9,0)</f>
        <v>0</v>
      </c>
    </row>
    <row r="18" spans="1:58" s="456" customFormat="1" ht="15.6">
      <c r="A18" s="450">
        <v>2</v>
      </c>
      <c r="B18" s="452">
        <f>SUMIF('04a_PROPUESTA_MO'!$R$9:$R$42,'07c_ATC_Ajustado'!A18,'04a_PROPUESTA_MO'!$T$9:$T$42)</f>
        <v>15602.531511536001</v>
      </c>
      <c r="C18" s="452">
        <f>SUMIF('04a_PROPUESTA_MO'!$R$9:$R$42,'07c_ATC_Ajustado'!A18,'04a_PROPUESTA_MO'!$AH$9:$AH$42)</f>
        <v>1166.9775073831811</v>
      </c>
      <c r="D18" s="452">
        <f>SUMIF('04a_PROPUESTA_MO'!$R$9:$R$42,'07c_ATC_Ajustado'!A18,'04a_PROPUESTA_MO'!$AI$9:$AI$42)</f>
        <v>7535.2101041922524</v>
      </c>
      <c r="E18" s="452">
        <f>SUMIF('04a_PROPUESTA_MO'!$R$9:$R$42,'07c_ATC_Ajustado'!A18,'04a_PROPUESTA_MO'!$AJ$9:$AJ$42)</f>
        <v>0</v>
      </c>
      <c r="F18" s="452">
        <f t="shared" ref="F18:F72" si="4">SUM(C18:E18)</f>
        <v>8702.187611575433</v>
      </c>
      <c r="G18" s="452">
        <f t="shared" ref="G18:G72" si="5">B18-F18</f>
        <v>6900.3438999605678</v>
      </c>
      <c r="H18" s="453">
        <f>G18/$G$7</f>
        <v>0.11964839041391659</v>
      </c>
      <c r="I18" s="452">
        <f t="shared" ref="I18:I72" si="6">G18-J18</f>
        <v>1807.5715171192551</v>
      </c>
      <c r="J18" s="452">
        <f>SUMIF('04a_PROPUESTA_MO'!$R$9:$R$42,'07c_ATC_Ajustado'!A18,'04a_PROPUESTA_MO'!$AN$9:$AN$42)</f>
        <v>5092.7723828413127</v>
      </c>
      <c r="K18" s="454">
        <f t="shared" ref="K18:K72" si="7">J18/$J$7</f>
        <v>0.11588166139463785</v>
      </c>
      <c r="L18" s="460">
        <f>1+'07b_ATC_Ajuste'!$E$6</f>
        <v>1.0514938896021049</v>
      </c>
      <c r="M18" s="461">
        <f>SUM(M19:M25)</f>
        <v>181558.4005853156</v>
      </c>
      <c r="N18" s="461">
        <f t="shared" ref="N18:BF18" si="8">SUM(N19:N25)</f>
        <v>5093.6361850716203</v>
      </c>
      <c r="O18" s="461">
        <f t="shared" si="8"/>
        <v>5560.6046214439157</v>
      </c>
      <c r="P18" s="461">
        <f t="shared" si="8"/>
        <v>5560.4784421771628</v>
      </c>
      <c r="Q18" s="461">
        <f t="shared" si="8"/>
        <v>5560.4784421771628</v>
      </c>
      <c r="R18" s="461">
        <f t="shared" si="8"/>
        <v>0</v>
      </c>
      <c r="S18" s="461">
        <f t="shared" si="8"/>
        <v>5154.2968675627662</v>
      </c>
      <c r="T18" s="461">
        <f t="shared" si="8"/>
        <v>5154.2968675627662</v>
      </c>
      <c r="U18" s="461">
        <f t="shared" si="8"/>
        <v>5154.2968675627662</v>
      </c>
      <c r="V18" s="461">
        <f t="shared" si="8"/>
        <v>5154.2968675627662</v>
      </c>
      <c r="W18" s="461">
        <f t="shared" si="8"/>
        <v>5154.2968675627662</v>
      </c>
      <c r="X18" s="461">
        <f t="shared" si="8"/>
        <v>5154.2968675627662</v>
      </c>
      <c r="Y18" s="461">
        <f t="shared" si="8"/>
        <v>5154.2968675627662</v>
      </c>
      <c r="Z18" s="461">
        <f t="shared" si="8"/>
        <v>5154.2968675627662</v>
      </c>
      <c r="AA18" s="461">
        <f t="shared" si="8"/>
        <v>5154.2968675627662</v>
      </c>
      <c r="AB18" s="461">
        <f t="shared" si="8"/>
        <v>5154.2968675627662</v>
      </c>
      <c r="AC18" s="461">
        <f t="shared" si="8"/>
        <v>5154.2968675627662</v>
      </c>
      <c r="AD18" s="461">
        <f t="shared" si="8"/>
        <v>5154.2968675627662</v>
      </c>
      <c r="AE18" s="461">
        <f t="shared" si="8"/>
        <v>5154.2968675627662</v>
      </c>
      <c r="AF18" s="461">
        <f t="shared" si="8"/>
        <v>5154.2968675627662</v>
      </c>
      <c r="AG18" s="461">
        <f t="shared" si="8"/>
        <v>5154.2968675627662</v>
      </c>
      <c r="AH18" s="461">
        <f t="shared" si="8"/>
        <v>5154.2968675627662</v>
      </c>
      <c r="AI18" s="461">
        <f t="shared" si="8"/>
        <v>5154.2968675627662</v>
      </c>
      <c r="AJ18" s="461">
        <f t="shared" si="8"/>
        <v>5154.2968675627662</v>
      </c>
      <c r="AK18" s="461">
        <f t="shared" si="8"/>
        <v>5154.2968675627662</v>
      </c>
      <c r="AL18" s="461">
        <f t="shared" si="8"/>
        <v>5154.2968675627662</v>
      </c>
      <c r="AM18" s="461">
        <f t="shared" si="8"/>
        <v>5154.2968675627662</v>
      </c>
      <c r="AN18" s="461">
        <f t="shared" si="8"/>
        <v>5154.2968675627662</v>
      </c>
      <c r="AO18" s="461">
        <f t="shared" si="8"/>
        <v>5154.2968675627662</v>
      </c>
      <c r="AP18" s="461">
        <f t="shared" si="8"/>
        <v>5154.2968675627662</v>
      </c>
      <c r="AQ18" s="461">
        <f t="shared" si="8"/>
        <v>5154.2968675627662</v>
      </c>
      <c r="AR18" s="461">
        <f t="shared" si="8"/>
        <v>5154.2968675627662</v>
      </c>
      <c r="AS18" s="461">
        <f t="shared" si="8"/>
        <v>5154.2968675627662</v>
      </c>
      <c r="AT18" s="461">
        <f t="shared" si="8"/>
        <v>5154.2968675627662</v>
      </c>
      <c r="AU18" s="461">
        <f t="shared" si="8"/>
        <v>5154.2968675627662</v>
      </c>
      <c r="AV18" s="461">
        <f t="shared" si="8"/>
        <v>5154.2968675627662</v>
      </c>
      <c r="AW18" s="461">
        <f t="shared" si="8"/>
        <v>5154.2968675627662</v>
      </c>
      <c r="AX18" s="461">
        <f t="shared" si="8"/>
        <v>0</v>
      </c>
      <c r="AY18" s="461">
        <f t="shared" si="8"/>
        <v>0</v>
      </c>
      <c r="AZ18" s="461">
        <f t="shared" si="8"/>
        <v>0</v>
      </c>
      <c r="BA18" s="461">
        <f t="shared" si="8"/>
        <v>0</v>
      </c>
      <c r="BB18" s="461">
        <f t="shared" si="8"/>
        <v>0</v>
      </c>
      <c r="BC18" s="461">
        <f t="shared" si="8"/>
        <v>0</v>
      </c>
      <c r="BD18" s="461">
        <f t="shared" si="8"/>
        <v>0</v>
      </c>
      <c r="BE18" s="461">
        <f t="shared" si="8"/>
        <v>0</v>
      </c>
      <c r="BF18" s="461">
        <f t="shared" si="8"/>
        <v>0</v>
      </c>
    </row>
    <row r="19" spans="1:58">
      <c r="A19" s="450"/>
      <c r="B19" s="424"/>
      <c r="C19" s="424"/>
      <c r="D19" s="424"/>
      <c r="E19" s="424"/>
      <c r="F19" s="424"/>
      <c r="G19" s="424"/>
      <c r="H19" s="462"/>
      <c r="I19" s="424"/>
      <c r="J19" s="424"/>
      <c r="K19" s="459"/>
      <c r="L19" s="463" t="str">
        <f>'00_Datos_Mercado'!$B$3</f>
        <v xml:space="preserve">a_CS - Creativos </v>
      </c>
      <c r="M19" s="429">
        <f t="shared" ref="M19:M25" si="9">SUM(N19:BF19)</f>
        <v>4234.8390656779975</v>
      </c>
      <c r="N19" s="427">
        <f>IFERROR('07a_ATC'!N19*'07c_ATC_Ajustado'!$L$18,0)</f>
        <v>2007.5541937839228</v>
      </c>
      <c r="O19" s="427">
        <f>IFERROR('07a_ATC'!O19*'07c_ATC_Ajustado'!$L$18,0)</f>
        <v>2227.2848718940745</v>
      </c>
      <c r="P19" s="427">
        <f>IFERROR('07a_ATC'!P19*'07c_ATC_Ajustado'!$L$18,0)</f>
        <v>0</v>
      </c>
      <c r="Q19" s="427">
        <f>IFERROR('07a_ATC'!Q19*'07c_ATC_Ajustado'!$L$18,0)</f>
        <v>0</v>
      </c>
      <c r="R19" s="427">
        <f>IFERROR('07a_ATC'!R19*'07c_ATC_Ajustado'!$L$18,0)</f>
        <v>0</v>
      </c>
      <c r="S19" s="427">
        <f>IFERROR('07a_ATC'!S19*'07c_ATC_Ajustado'!$L$18,0)</f>
        <v>0</v>
      </c>
      <c r="T19" s="427">
        <f>IFERROR('07a_ATC'!T19*'07c_ATC_Ajustado'!$L$18,0)</f>
        <v>0</v>
      </c>
      <c r="U19" s="427">
        <f>IFERROR('07a_ATC'!U19*'07c_ATC_Ajustado'!$L$18,0)</f>
        <v>0</v>
      </c>
      <c r="V19" s="427">
        <f>IFERROR('07a_ATC'!V19*'07c_ATC_Ajustado'!$L$18,0)</f>
        <v>0</v>
      </c>
      <c r="W19" s="427">
        <f>IFERROR('07a_ATC'!W19*'07c_ATC_Ajustado'!$L$18,0)</f>
        <v>0</v>
      </c>
      <c r="X19" s="427">
        <f>IFERROR('07a_ATC'!X19*'07c_ATC_Ajustado'!$L$18,0)</f>
        <v>0</v>
      </c>
      <c r="Y19" s="427">
        <f>IFERROR('07a_ATC'!Y19*'07c_ATC_Ajustado'!$L$18,0)</f>
        <v>0</v>
      </c>
      <c r="Z19" s="427">
        <f>IFERROR('07a_ATC'!Z19*'07c_ATC_Ajustado'!$L$18,0)</f>
        <v>0</v>
      </c>
      <c r="AA19" s="427">
        <f>IFERROR('07a_ATC'!AA19*'07c_ATC_Ajustado'!$L$18,0)</f>
        <v>0</v>
      </c>
      <c r="AB19" s="427">
        <f>IFERROR('07a_ATC'!AB19*'07c_ATC_Ajustado'!$L$18,0)</f>
        <v>0</v>
      </c>
      <c r="AC19" s="427">
        <f>IFERROR('07a_ATC'!AC19*'07c_ATC_Ajustado'!$L$18,0)</f>
        <v>0</v>
      </c>
      <c r="AD19" s="427">
        <f>IFERROR('07a_ATC'!AD19*'07c_ATC_Ajustado'!$L$18,0)</f>
        <v>0</v>
      </c>
      <c r="AE19" s="427">
        <f>IFERROR('07a_ATC'!AE19*'07c_ATC_Ajustado'!$L$18,0)</f>
        <v>0</v>
      </c>
      <c r="AF19" s="427">
        <f>IFERROR('07a_ATC'!AF19*'07c_ATC_Ajustado'!$L$18,0)</f>
        <v>0</v>
      </c>
      <c r="AG19" s="427">
        <f>IFERROR('07a_ATC'!AG19*'07c_ATC_Ajustado'!$L$18,0)</f>
        <v>0</v>
      </c>
      <c r="AH19" s="427">
        <f>IFERROR('07a_ATC'!AH19*'07c_ATC_Ajustado'!$L$18,0)</f>
        <v>0</v>
      </c>
      <c r="AI19" s="427">
        <f>IFERROR('07a_ATC'!AI19*'07c_ATC_Ajustado'!$L$18,0)</f>
        <v>0</v>
      </c>
      <c r="AJ19" s="427">
        <f>IFERROR('07a_ATC'!AJ19*'07c_ATC_Ajustado'!$L$18,0)</f>
        <v>0</v>
      </c>
      <c r="AK19" s="427">
        <f>IFERROR('07a_ATC'!AK19*'07c_ATC_Ajustado'!$L$18,0)</f>
        <v>0</v>
      </c>
      <c r="AL19" s="427">
        <f>IFERROR('07a_ATC'!AL19*'07c_ATC_Ajustado'!$L$18,0)</f>
        <v>0</v>
      </c>
      <c r="AM19" s="427">
        <f>IFERROR('07a_ATC'!AM19*'07c_ATC_Ajustado'!$L$18,0)</f>
        <v>0</v>
      </c>
      <c r="AN19" s="427">
        <f>IFERROR('07a_ATC'!AN19*'07c_ATC_Ajustado'!$L$18,0)</f>
        <v>0</v>
      </c>
      <c r="AO19" s="427">
        <f>IFERROR('07a_ATC'!AO19*'07c_ATC_Ajustado'!$L$18,0)</f>
        <v>0</v>
      </c>
      <c r="AP19" s="427">
        <f>IFERROR('07a_ATC'!AP19*'07c_ATC_Ajustado'!$L$18,0)</f>
        <v>0</v>
      </c>
      <c r="AQ19" s="427">
        <f>IFERROR('07a_ATC'!AQ19*'07c_ATC_Ajustado'!$L$18,0)</f>
        <v>0</v>
      </c>
      <c r="AR19" s="427">
        <f>IFERROR('07a_ATC'!AR19*'07c_ATC_Ajustado'!$L$18,0)</f>
        <v>0</v>
      </c>
      <c r="AS19" s="427">
        <f>IFERROR('07a_ATC'!AS19*'07c_ATC_Ajustado'!$L$18,0)</f>
        <v>0</v>
      </c>
      <c r="AT19" s="427">
        <f>IFERROR('07a_ATC'!AT19*'07c_ATC_Ajustado'!$L$18,0)</f>
        <v>0</v>
      </c>
      <c r="AU19" s="427">
        <f>IFERROR('07a_ATC'!AU19*'07c_ATC_Ajustado'!$L$18,0)</f>
        <v>0</v>
      </c>
      <c r="AV19" s="427">
        <f>IFERROR('07a_ATC'!AV19*'07c_ATC_Ajustado'!$L$18,0)</f>
        <v>0</v>
      </c>
      <c r="AW19" s="427">
        <f>IFERROR('07a_ATC'!AW19*'07c_ATC_Ajustado'!$L$18,0)</f>
        <v>0</v>
      </c>
      <c r="AX19" s="427">
        <f>IFERROR('07a_ATC'!AX19*'07c_ATC_Ajustado'!$L$18,0)</f>
        <v>0</v>
      </c>
      <c r="AY19" s="427">
        <f>IFERROR('07a_ATC'!AY19*'07c_ATC_Ajustado'!$L$18,0)</f>
        <v>0</v>
      </c>
      <c r="AZ19" s="427">
        <f>IFERROR('07a_ATC'!AZ19*'07c_ATC_Ajustado'!$L$18,0)</f>
        <v>0</v>
      </c>
      <c r="BA19" s="427">
        <f>IFERROR('07a_ATC'!BA19*'07c_ATC_Ajustado'!$L$18,0)</f>
        <v>0</v>
      </c>
      <c r="BB19" s="427">
        <f>IFERROR('07a_ATC'!BB19*'07c_ATC_Ajustado'!$L$18,0)</f>
        <v>0</v>
      </c>
      <c r="BC19" s="427">
        <f>IFERROR('07a_ATC'!BC19*'07c_ATC_Ajustado'!$L$18,0)</f>
        <v>0</v>
      </c>
      <c r="BD19" s="427">
        <f>IFERROR('07a_ATC'!BD19*'07c_ATC_Ajustado'!$L$18,0)</f>
        <v>0</v>
      </c>
      <c r="BE19" s="427">
        <f>IFERROR('07a_ATC'!BE19*'07c_ATC_Ajustado'!$L$18,0)</f>
        <v>0</v>
      </c>
      <c r="BF19" s="427">
        <f>IFERROR('07a_ATC'!BF19*'07c_ATC_Ajustado'!$L$18,0)</f>
        <v>0</v>
      </c>
    </row>
    <row r="20" spans="1:58">
      <c r="A20" s="450"/>
      <c r="B20" s="424"/>
      <c r="C20" s="424"/>
      <c r="D20" s="424"/>
      <c r="E20" s="424"/>
      <c r="F20" s="424"/>
      <c r="G20" s="424"/>
      <c r="H20" s="462"/>
      <c r="I20" s="424"/>
      <c r="J20" s="424"/>
      <c r="K20" s="459"/>
      <c r="L20" s="464" t="str">
        <f>'00_Datos_Mercado'!$B$4</f>
        <v>b_CS - General (Comercio + Oficinas + Hospedaje)</v>
      </c>
      <c r="M20" s="429">
        <f t="shared" si="9"/>
        <v>17540.358625191864</v>
      </c>
      <c r="N20" s="427">
        <f>IFERROR('07a_ATC'!N20*'07c_ATC_Ajustado'!$L$18,0)</f>
        <v>3086.0819912876977</v>
      </c>
      <c r="O20" s="427">
        <f>IFERROR('07a_ATC'!O20*'07c_ATC_Ajustado'!$L$18,0)</f>
        <v>3333.3197495498407</v>
      </c>
      <c r="P20" s="427">
        <f>IFERROR('07a_ATC'!P20*'07c_ATC_Ajustado'!$L$18,0)</f>
        <v>5560.4784421771628</v>
      </c>
      <c r="Q20" s="427">
        <f>IFERROR('07a_ATC'!Q20*'07c_ATC_Ajustado'!$L$18,0)</f>
        <v>5560.4784421771628</v>
      </c>
      <c r="S20" s="427">
        <f>IFERROR('07a_ATC'!S20*'07c_ATC_Ajustado'!$L$18,0)</f>
        <v>0</v>
      </c>
      <c r="T20" s="427">
        <f>IFERROR('07a_ATC'!T20*'07c_ATC_Ajustado'!$L$18,0)</f>
        <v>0</v>
      </c>
      <c r="U20" s="427">
        <f>IFERROR('07a_ATC'!U20*'07c_ATC_Ajustado'!$L$18,0)</f>
        <v>0</v>
      </c>
      <c r="V20" s="427">
        <f>IFERROR('07a_ATC'!V20*'07c_ATC_Ajustado'!$L$18,0)</f>
        <v>0</v>
      </c>
      <c r="W20" s="427">
        <f>IFERROR('07a_ATC'!W20*'07c_ATC_Ajustado'!$L$18,0)</f>
        <v>0</v>
      </c>
      <c r="X20" s="427">
        <f>IFERROR('07a_ATC'!X20*'07c_ATC_Ajustado'!$L$18,0)</f>
        <v>0</v>
      </c>
      <c r="Y20" s="427">
        <f>IFERROR('07a_ATC'!Y20*'07c_ATC_Ajustado'!$L$18,0)</f>
        <v>0</v>
      </c>
      <c r="Z20" s="427">
        <f>IFERROR('07a_ATC'!Z20*'07c_ATC_Ajustado'!$L$18,0)</f>
        <v>0</v>
      </c>
      <c r="AA20" s="427">
        <f>IFERROR('07a_ATC'!AA20*'07c_ATC_Ajustado'!$L$18,0)</f>
        <v>0</v>
      </c>
      <c r="AB20" s="427">
        <f>IFERROR('07a_ATC'!AB20*'07c_ATC_Ajustado'!$L$18,0)</f>
        <v>0</v>
      </c>
      <c r="AC20" s="427">
        <f>IFERROR('07a_ATC'!AC20*'07c_ATC_Ajustado'!$L$18,0)</f>
        <v>0</v>
      </c>
      <c r="AD20" s="427">
        <f>IFERROR('07a_ATC'!AD20*'07c_ATC_Ajustado'!$L$18,0)</f>
        <v>0</v>
      </c>
      <c r="AE20" s="427">
        <f>IFERROR('07a_ATC'!AE20*'07c_ATC_Ajustado'!$L$18,0)</f>
        <v>0</v>
      </c>
      <c r="AF20" s="427">
        <f>IFERROR('07a_ATC'!AF20*'07c_ATC_Ajustado'!$L$18,0)</f>
        <v>0</v>
      </c>
      <c r="AG20" s="427">
        <f>IFERROR('07a_ATC'!AG20*'07c_ATC_Ajustado'!$L$18,0)</f>
        <v>0</v>
      </c>
      <c r="AH20" s="427">
        <f>IFERROR('07a_ATC'!AH20*'07c_ATC_Ajustado'!$L$18,0)</f>
        <v>0</v>
      </c>
      <c r="AI20" s="427">
        <f>IFERROR('07a_ATC'!AI20*'07c_ATC_Ajustado'!$L$18,0)</f>
        <v>0</v>
      </c>
      <c r="AJ20" s="427">
        <f>IFERROR('07a_ATC'!AJ20*'07c_ATC_Ajustado'!$L$18,0)</f>
        <v>0</v>
      </c>
      <c r="AK20" s="427">
        <f>IFERROR('07a_ATC'!AK20*'07c_ATC_Ajustado'!$L$18,0)</f>
        <v>0</v>
      </c>
      <c r="AL20" s="427">
        <f>IFERROR('07a_ATC'!AL20*'07c_ATC_Ajustado'!$L$18,0)</f>
        <v>0</v>
      </c>
      <c r="AM20" s="427">
        <f>IFERROR('07a_ATC'!AM20*'07c_ATC_Ajustado'!$L$18,0)</f>
        <v>0</v>
      </c>
      <c r="AN20" s="427">
        <f>IFERROR('07a_ATC'!AN20*'07c_ATC_Ajustado'!$L$18,0)</f>
        <v>0</v>
      </c>
      <c r="AO20" s="427">
        <f>IFERROR('07a_ATC'!AO20*'07c_ATC_Ajustado'!$L$18,0)</f>
        <v>0</v>
      </c>
      <c r="AP20" s="427">
        <f>IFERROR('07a_ATC'!AP20*'07c_ATC_Ajustado'!$L$18,0)</f>
        <v>0</v>
      </c>
      <c r="AQ20" s="427">
        <f>IFERROR('07a_ATC'!AQ20*'07c_ATC_Ajustado'!$L$18,0)</f>
        <v>0</v>
      </c>
      <c r="AR20" s="427">
        <f>IFERROR('07a_ATC'!AR20*'07c_ATC_Ajustado'!$L$18,0)</f>
        <v>0</v>
      </c>
      <c r="AS20" s="427">
        <f>IFERROR('07a_ATC'!AS20*'07c_ATC_Ajustado'!$L$18,0)</f>
        <v>0</v>
      </c>
      <c r="AT20" s="427">
        <f>IFERROR('07a_ATC'!AT20*'07c_ATC_Ajustado'!$L$18,0)</f>
        <v>0</v>
      </c>
      <c r="AU20" s="427">
        <f>IFERROR('07a_ATC'!AU20*'07c_ATC_Ajustado'!$L$18,0)</f>
        <v>0</v>
      </c>
      <c r="AV20" s="427">
        <f>IFERROR('07a_ATC'!AV20*'07c_ATC_Ajustado'!$L$18,0)</f>
        <v>0</v>
      </c>
      <c r="AW20" s="427">
        <f>IFERROR('07a_ATC'!AW20*'07c_ATC_Ajustado'!$L$18,0)</f>
        <v>0</v>
      </c>
      <c r="AX20" s="427">
        <f>IFERROR('07a_ATC'!AX20*'07c_ATC_Ajustado'!$L$18,0)</f>
        <v>0</v>
      </c>
      <c r="AY20" s="427">
        <f>IFERROR('07a_ATC'!AY20*'07c_ATC_Ajustado'!$L$18,0)</f>
        <v>0</v>
      </c>
      <c r="AZ20" s="427">
        <f>IFERROR('07a_ATC'!AZ20*'07c_ATC_Ajustado'!$L$18,0)</f>
        <v>0</v>
      </c>
      <c r="BA20" s="427">
        <f>IFERROR('07a_ATC'!BA20*'07c_ATC_Ajustado'!$L$18,0)</f>
        <v>0</v>
      </c>
      <c r="BB20" s="427">
        <f>IFERROR('07a_ATC'!BB20*'07c_ATC_Ajustado'!$L$18,0)</f>
        <v>0</v>
      </c>
      <c r="BC20" s="427">
        <f>IFERROR('07a_ATC'!BC20*'07c_ATC_Ajustado'!$L$18,0)</f>
        <v>0</v>
      </c>
      <c r="BD20" s="427">
        <f>IFERROR('07a_ATC'!BD20*'07c_ATC_Ajustado'!$L$18,0)</f>
        <v>0</v>
      </c>
      <c r="BE20" s="427">
        <f>IFERROR('07a_ATC'!BE20*'07c_ATC_Ajustado'!$L$18,0)</f>
        <v>0</v>
      </c>
      <c r="BF20" s="427">
        <f>IFERROR('07a_ATC'!BF20*'07c_ATC_Ajustado'!$L$18,0)</f>
        <v>0</v>
      </c>
    </row>
    <row r="21" spans="1:58">
      <c r="A21" s="450"/>
      <c r="B21" s="424"/>
      <c r="C21" s="424"/>
      <c r="D21" s="424"/>
      <c r="E21" s="424"/>
      <c r="F21" s="424"/>
      <c r="G21" s="424"/>
      <c r="H21" s="462"/>
      <c r="I21" s="424"/>
      <c r="J21" s="424"/>
      <c r="K21" s="459"/>
      <c r="L21" s="465" t="str">
        <f>'00_Datos_Mercado'!$B$5</f>
        <v>c_CS - Grandes Superficies</v>
      </c>
      <c r="M21" s="429">
        <f t="shared" si="9"/>
        <v>0</v>
      </c>
      <c r="N21" s="427">
        <f>IFERROR('07a_ATC'!N21*'07c_ATC_Ajustado'!$L$18,0)</f>
        <v>0</v>
      </c>
      <c r="O21" s="427">
        <f>IFERROR('07a_ATC'!O21*'07c_ATC_Ajustado'!$L$18,0)</f>
        <v>0</v>
      </c>
      <c r="P21" s="427">
        <f>IFERROR('07a_ATC'!P21*'07c_ATC_Ajustado'!$L$18,0)</f>
        <v>0</v>
      </c>
      <c r="Q21" s="427">
        <f>IFERROR('07a_ATC'!Q21*'07c_ATC_Ajustado'!$L$18,0)</f>
        <v>0</v>
      </c>
      <c r="R21" s="427">
        <f>IFERROR('07a_ATC'!R21*'07c_ATC_Ajustado'!$L$18,0)</f>
        <v>0</v>
      </c>
      <c r="S21" s="427">
        <f>IFERROR('07a_ATC'!S21*'07c_ATC_Ajustado'!$L$18,0)</f>
        <v>0</v>
      </c>
      <c r="T21" s="427">
        <f>IFERROR('07a_ATC'!T21*'07c_ATC_Ajustado'!$L$18,0)</f>
        <v>0</v>
      </c>
      <c r="U21" s="427">
        <f>IFERROR('07a_ATC'!U21*'07c_ATC_Ajustado'!$L$18,0)</f>
        <v>0</v>
      </c>
      <c r="V21" s="427">
        <f>IFERROR('07a_ATC'!V21*'07c_ATC_Ajustado'!$L$18,0)</f>
        <v>0</v>
      </c>
      <c r="W21" s="427">
        <f>IFERROR('07a_ATC'!W21*'07c_ATC_Ajustado'!$L$18,0)</f>
        <v>0</v>
      </c>
      <c r="X21" s="427">
        <f>IFERROR('07a_ATC'!X21*'07c_ATC_Ajustado'!$L$18,0)</f>
        <v>0</v>
      </c>
      <c r="Y21" s="427">
        <f>IFERROR('07a_ATC'!Y21*'07c_ATC_Ajustado'!$L$18,0)</f>
        <v>0</v>
      </c>
      <c r="Z21" s="427">
        <f>IFERROR('07a_ATC'!Z21*'07c_ATC_Ajustado'!$L$18,0)</f>
        <v>0</v>
      </c>
      <c r="AA21" s="427">
        <f>IFERROR('07a_ATC'!AA21*'07c_ATC_Ajustado'!$L$18,0)</f>
        <v>0</v>
      </c>
      <c r="AB21" s="427">
        <f>IFERROR('07a_ATC'!AB21*'07c_ATC_Ajustado'!$L$18,0)</f>
        <v>0</v>
      </c>
      <c r="AC21" s="427">
        <f>IFERROR('07a_ATC'!AC21*'07c_ATC_Ajustado'!$L$18,0)</f>
        <v>0</v>
      </c>
      <c r="AD21" s="427">
        <f>IFERROR('07a_ATC'!AD21*'07c_ATC_Ajustado'!$L$18,0)</f>
        <v>0</v>
      </c>
      <c r="AE21" s="427">
        <f>IFERROR('07a_ATC'!AE21*'07c_ATC_Ajustado'!$L$18,0)</f>
        <v>0</v>
      </c>
      <c r="AF21" s="427">
        <f>IFERROR('07a_ATC'!AF21*'07c_ATC_Ajustado'!$L$18,0)</f>
        <v>0</v>
      </c>
      <c r="AG21" s="427">
        <f>IFERROR('07a_ATC'!AG21*'07c_ATC_Ajustado'!$L$18,0)</f>
        <v>0</v>
      </c>
      <c r="AH21" s="427">
        <f>IFERROR('07a_ATC'!AH21*'07c_ATC_Ajustado'!$L$18,0)</f>
        <v>0</v>
      </c>
      <c r="AI21" s="427">
        <f>IFERROR('07a_ATC'!AI21*'07c_ATC_Ajustado'!$L$18,0)</f>
        <v>0</v>
      </c>
      <c r="AJ21" s="427">
        <f>IFERROR('07a_ATC'!AJ21*'07c_ATC_Ajustado'!$L$18,0)</f>
        <v>0</v>
      </c>
      <c r="AK21" s="427">
        <f>IFERROR('07a_ATC'!AK21*'07c_ATC_Ajustado'!$L$18,0)</f>
        <v>0</v>
      </c>
      <c r="AL21" s="427">
        <f>IFERROR('07a_ATC'!AL21*'07c_ATC_Ajustado'!$L$18,0)</f>
        <v>0</v>
      </c>
      <c r="AM21" s="427">
        <f>IFERROR('07a_ATC'!AM21*'07c_ATC_Ajustado'!$L$18,0)</f>
        <v>0</v>
      </c>
      <c r="AN21" s="427">
        <f>IFERROR('07a_ATC'!AN21*'07c_ATC_Ajustado'!$L$18,0)</f>
        <v>0</v>
      </c>
      <c r="AO21" s="427">
        <f>IFERROR('07a_ATC'!AO21*'07c_ATC_Ajustado'!$L$18,0)</f>
        <v>0</v>
      </c>
      <c r="AP21" s="427">
        <f>IFERROR('07a_ATC'!AP21*'07c_ATC_Ajustado'!$L$18,0)</f>
        <v>0</v>
      </c>
      <c r="AQ21" s="427">
        <f>IFERROR('07a_ATC'!AQ21*'07c_ATC_Ajustado'!$L$18,0)</f>
        <v>0</v>
      </c>
      <c r="AR21" s="427">
        <f>IFERROR('07a_ATC'!AR21*'07c_ATC_Ajustado'!$L$18,0)</f>
        <v>0</v>
      </c>
      <c r="AS21" s="427">
        <f>IFERROR('07a_ATC'!AS21*'07c_ATC_Ajustado'!$L$18,0)</f>
        <v>0</v>
      </c>
      <c r="AT21" s="427">
        <f>IFERROR('07a_ATC'!AT21*'07c_ATC_Ajustado'!$L$18,0)</f>
        <v>0</v>
      </c>
      <c r="AU21" s="427">
        <f>IFERROR('07a_ATC'!AU21*'07c_ATC_Ajustado'!$L$18,0)</f>
        <v>0</v>
      </c>
      <c r="AV21" s="427">
        <f>IFERROR('07a_ATC'!AV21*'07c_ATC_Ajustado'!$L$18,0)</f>
        <v>0</v>
      </c>
      <c r="AW21" s="427">
        <f>IFERROR('07a_ATC'!AW21*'07c_ATC_Ajustado'!$L$18,0)</f>
        <v>0</v>
      </c>
      <c r="AX21" s="427">
        <f>IFERROR('07a_ATC'!AX21*'07c_ATC_Ajustado'!$L$18,0)</f>
        <v>0</v>
      </c>
      <c r="AY21" s="427">
        <f>IFERROR('07a_ATC'!AY21*'07c_ATC_Ajustado'!$L$18,0)</f>
        <v>0</v>
      </c>
      <c r="AZ21" s="427">
        <f>IFERROR('07a_ATC'!AZ21*'07c_ATC_Ajustado'!$L$18,0)</f>
        <v>0</v>
      </c>
      <c r="BA21" s="427">
        <f>IFERROR('07a_ATC'!BA21*'07c_ATC_Ajustado'!$L$18,0)</f>
        <v>0</v>
      </c>
      <c r="BB21" s="427">
        <f>IFERROR('07a_ATC'!BB21*'07c_ATC_Ajustado'!$L$18,0)</f>
        <v>0</v>
      </c>
      <c r="BC21" s="427">
        <f>IFERROR('07a_ATC'!BC21*'07c_ATC_Ajustado'!$L$18,0)</f>
        <v>0</v>
      </c>
      <c r="BD21" s="427">
        <f>IFERROR('07a_ATC'!BD21*'07c_ATC_Ajustado'!$L$18,0)</f>
        <v>0</v>
      </c>
      <c r="BE21" s="427">
        <f>IFERROR('07a_ATC'!BE21*'07c_ATC_Ajustado'!$L$18,0)</f>
        <v>0</v>
      </c>
      <c r="BF21" s="427">
        <f>IFERROR('07a_ATC'!BF21*'07c_ATC_Ajustado'!$L$18,0)</f>
        <v>0</v>
      </c>
    </row>
    <row r="22" spans="1:58">
      <c r="A22" s="450"/>
      <c r="B22" s="424"/>
      <c r="C22" s="424"/>
      <c r="D22" s="424"/>
      <c r="E22" s="424"/>
      <c r="F22" s="424"/>
      <c r="G22" s="424"/>
      <c r="H22" s="462"/>
      <c r="I22" s="424"/>
      <c r="J22" s="424"/>
      <c r="K22" s="459"/>
      <c r="L22" s="466" t="str">
        <f>'00_Datos_Mercado'!$B$6</f>
        <v>d_CS - Torre Empresarial (Oficinas + Hospedaje)</v>
      </c>
      <c r="M22" s="429">
        <f t="shared" si="9"/>
        <v>0</v>
      </c>
      <c r="N22" s="427">
        <f>IFERROR('07a_ATC'!N22*'07c_ATC_Ajustado'!$L$18,0)</f>
        <v>0</v>
      </c>
      <c r="O22" s="427">
        <f>IFERROR('07a_ATC'!O22*'07c_ATC_Ajustado'!$L$18,0)</f>
        <v>0</v>
      </c>
      <c r="P22" s="427">
        <f>IFERROR('07a_ATC'!P22*'07c_ATC_Ajustado'!$L$18,0)</f>
        <v>0</v>
      </c>
      <c r="Q22" s="427">
        <f>IFERROR('07a_ATC'!Q22*'07c_ATC_Ajustado'!$L$18,0)</f>
        <v>0</v>
      </c>
      <c r="R22" s="427">
        <f>IFERROR('07a_ATC'!R22*'07c_ATC_Ajustado'!$L$18,0)</f>
        <v>0</v>
      </c>
      <c r="S22" s="427">
        <f>IFERROR('07a_ATC'!S22*'07c_ATC_Ajustado'!$L$18,0)</f>
        <v>0</v>
      </c>
      <c r="T22" s="427">
        <f>IFERROR('07a_ATC'!T22*'07c_ATC_Ajustado'!$L$18,0)</f>
        <v>0</v>
      </c>
      <c r="U22" s="427">
        <f>IFERROR('07a_ATC'!U22*'07c_ATC_Ajustado'!$L$18,0)</f>
        <v>0</v>
      </c>
      <c r="V22" s="427">
        <f>IFERROR('07a_ATC'!V22*'07c_ATC_Ajustado'!$L$18,0)</f>
        <v>0</v>
      </c>
      <c r="W22" s="427">
        <f>IFERROR('07a_ATC'!W22*'07c_ATC_Ajustado'!$L$18,0)</f>
        <v>0</v>
      </c>
      <c r="X22" s="427">
        <f>IFERROR('07a_ATC'!X22*'07c_ATC_Ajustado'!$L$18,0)</f>
        <v>0</v>
      </c>
      <c r="Y22" s="427">
        <f>IFERROR('07a_ATC'!Y22*'07c_ATC_Ajustado'!$L$18,0)</f>
        <v>0</v>
      </c>
      <c r="Z22" s="427">
        <f>IFERROR('07a_ATC'!Z22*'07c_ATC_Ajustado'!$L$18,0)</f>
        <v>0</v>
      </c>
      <c r="AA22" s="427">
        <f>IFERROR('07a_ATC'!AA22*'07c_ATC_Ajustado'!$L$18,0)</f>
        <v>0</v>
      </c>
      <c r="AB22" s="427">
        <f>IFERROR('07a_ATC'!AB22*'07c_ATC_Ajustado'!$L$18,0)</f>
        <v>0</v>
      </c>
      <c r="AC22" s="427">
        <f>IFERROR('07a_ATC'!AC22*'07c_ATC_Ajustado'!$L$18,0)</f>
        <v>0</v>
      </c>
      <c r="AD22" s="427">
        <f>IFERROR('07a_ATC'!AD22*'07c_ATC_Ajustado'!$L$18,0)</f>
        <v>0</v>
      </c>
      <c r="AE22" s="427">
        <f>IFERROR('07a_ATC'!AE22*'07c_ATC_Ajustado'!$L$18,0)</f>
        <v>0</v>
      </c>
      <c r="AF22" s="427">
        <f>IFERROR('07a_ATC'!AF22*'07c_ATC_Ajustado'!$L$18,0)</f>
        <v>0</v>
      </c>
      <c r="AG22" s="427">
        <f>IFERROR('07a_ATC'!AG22*'07c_ATC_Ajustado'!$L$18,0)</f>
        <v>0</v>
      </c>
      <c r="AH22" s="427">
        <f>IFERROR('07a_ATC'!AH22*'07c_ATC_Ajustado'!$L$18,0)</f>
        <v>0</v>
      </c>
      <c r="AI22" s="427">
        <f>IFERROR('07a_ATC'!AI22*'07c_ATC_Ajustado'!$L$18,0)</f>
        <v>0</v>
      </c>
      <c r="AJ22" s="427">
        <f>IFERROR('07a_ATC'!AJ22*'07c_ATC_Ajustado'!$L$18,0)</f>
        <v>0</v>
      </c>
      <c r="AK22" s="427">
        <f>IFERROR('07a_ATC'!AK22*'07c_ATC_Ajustado'!$L$18,0)</f>
        <v>0</v>
      </c>
      <c r="AL22" s="427">
        <f>IFERROR('07a_ATC'!AL22*'07c_ATC_Ajustado'!$L$18,0)</f>
        <v>0</v>
      </c>
      <c r="AM22" s="427">
        <f>IFERROR('07a_ATC'!AM22*'07c_ATC_Ajustado'!$L$18,0)</f>
        <v>0</v>
      </c>
      <c r="AN22" s="427">
        <f>IFERROR('07a_ATC'!AN22*'07c_ATC_Ajustado'!$L$18,0)</f>
        <v>0</v>
      </c>
      <c r="AO22" s="427">
        <f>IFERROR('07a_ATC'!AO22*'07c_ATC_Ajustado'!$L$18,0)</f>
        <v>0</v>
      </c>
      <c r="AP22" s="427">
        <f>IFERROR('07a_ATC'!AP22*'07c_ATC_Ajustado'!$L$18,0)</f>
        <v>0</v>
      </c>
      <c r="AQ22" s="427">
        <f>IFERROR('07a_ATC'!AQ22*'07c_ATC_Ajustado'!$L$18,0)</f>
        <v>0</v>
      </c>
      <c r="AR22" s="427">
        <f>IFERROR('07a_ATC'!AR22*'07c_ATC_Ajustado'!$L$18,0)</f>
        <v>0</v>
      </c>
      <c r="AS22" s="427">
        <f>IFERROR('07a_ATC'!AS22*'07c_ATC_Ajustado'!$L$18,0)</f>
        <v>0</v>
      </c>
      <c r="AT22" s="427">
        <f>IFERROR('07a_ATC'!AT22*'07c_ATC_Ajustado'!$L$18,0)</f>
        <v>0</v>
      </c>
      <c r="AU22" s="427">
        <f>IFERROR('07a_ATC'!AU22*'07c_ATC_Ajustado'!$L$18,0)</f>
        <v>0</v>
      </c>
      <c r="AV22" s="427">
        <f>IFERROR('07a_ATC'!AV22*'07c_ATC_Ajustado'!$L$18,0)</f>
        <v>0</v>
      </c>
      <c r="AW22" s="427">
        <f>IFERROR('07a_ATC'!AW22*'07c_ATC_Ajustado'!$L$18,0)</f>
        <v>0</v>
      </c>
      <c r="AX22" s="427">
        <f>IFERROR('07a_ATC'!AX22*'07c_ATC_Ajustado'!$L$18,0)</f>
        <v>0</v>
      </c>
      <c r="AY22" s="427">
        <f>IFERROR('07a_ATC'!AY22*'07c_ATC_Ajustado'!$L$18,0)</f>
        <v>0</v>
      </c>
      <c r="AZ22" s="427">
        <f>IFERROR('07a_ATC'!AZ22*'07c_ATC_Ajustado'!$L$18,0)</f>
        <v>0</v>
      </c>
      <c r="BA22" s="427">
        <f>IFERROR('07a_ATC'!BA22*'07c_ATC_Ajustado'!$L$18,0)</f>
        <v>0</v>
      </c>
      <c r="BB22" s="427">
        <f>IFERROR('07a_ATC'!BB22*'07c_ATC_Ajustado'!$L$18,0)</f>
        <v>0</v>
      </c>
      <c r="BC22" s="427">
        <f>IFERROR('07a_ATC'!BC22*'07c_ATC_Ajustado'!$L$18,0)</f>
        <v>0</v>
      </c>
      <c r="BD22" s="427">
        <f>IFERROR('07a_ATC'!BD22*'07c_ATC_Ajustado'!$L$18,0)</f>
        <v>0</v>
      </c>
      <c r="BE22" s="427">
        <f>IFERROR('07a_ATC'!BE22*'07c_ATC_Ajustado'!$L$18,0)</f>
        <v>0</v>
      </c>
      <c r="BF22" s="427">
        <f>IFERROR('07a_ATC'!BF22*'07c_ATC_Ajustado'!$L$18,0)</f>
        <v>0</v>
      </c>
    </row>
    <row r="23" spans="1:58">
      <c r="A23" s="450"/>
      <c r="B23" s="424"/>
      <c r="C23" s="424"/>
      <c r="D23" s="424"/>
      <c r="E23" s="424"/>
      <c r="F23" s="424"/>
      <c r="G23" s="424"/>
      <c r="H23" s="462"/>
      <c r="I23" s="424"/>
      <c r="J23" s="424"/>
      <c r="K23" s="459"/>
      <c r="L23" s="467" t="str">
        <f>'00_Datos_Mercado'!$B$7</f>
        <v>e_CS - Innovation (H, CS, Gamers)</v>
      </c>
      <c r="M23" s="429">
        <f t="shared" si="9"/>
        <v>0</v>
      </c>
      <c r="N23" s="427">
        <f>IFERROR('07a_ATC'!N23*'07c_ATC_Ajustado'!$L$18,0)</f>
        <v>0</v>
      </c>
      <c r="O23" s="427">
        <f>IFERROR('07a_ATC'!O23*'07c_ATC_Ajustado'!$L$18,0)</f>
        <v>0</v>
      </c>
      <c r="P23" s="427">
        <f>IFERROR('07a_ATC'!P23*'07c_ATC_Ajustado'!$L$18,0)</f>
        <v>0</v>
      </c>
      <c r="Q23" s="427">
        <f>IFERROR('07a_ATC'!Q23*'07c_ATC_Ajustado'!$L$18,0)</f>
        <v>0</v>
      </c>
      <c r="R23" s="427">
        <f>IFERROR('07a_ATC'!R23*'07c_ATC_Ajustado'!$L$18,0)</f>
        <v>0</v>
      </c>
      <c r="S23" s="427">
        <f>IFERROR('07a_ATC'!S23*'07c_ATC_Ajustado'!$L$18,0)</f>
        <v>0</v>
      </c>
      <c r="T23" s="427">
        <f>IFERROR('07a_ATC'!T23*'07c_ATC_Ajustado'!$L$18,0)</f>
        <v>0</v>
      </c>
      <c r="U23" s="427">
        <f>IFERROR('07a_ATC'!U23*'07c_ATC_Ajustado'!$L$18,0)</f>
        <v>0</v>
      </c>
      <c r="V23" s="427">
        <f>IFERROR('07a_ATC'!V23*'07c_ATC_Ajustado'!$L$18,0)</f>
        <v>0</v>
      </c>
      <c r="W23" s="427">
        <f>IFERROR('07a_ATC'!W23*'07c_ATC_Ajustado'!$L$18,0)</f>
        <v>0</v>
      </c>
      <c r="X23" s="427">
        <f>IFERROR('07a_ATC'!X23*'07c_ATC_Ajustado'!$L$18,0)</f>
        <v>0</v>
      </c>
      <c r="Y23" s="427">
        <f>IFERROR('07a_ATC'!Y23*'07c_ATC_Ajustado'!$L$18,0)</f>
        <v>0</v>
      </c>
      <c r="Z23" s="427">
        <f>IFERROR('07a_ATC'!Z23*'07c_ATC_Ajustado'!$L$18,0)</f>
        <v>0</v>
      </c>
      <c r="AA23" s="427">
        <f>IFERROR('07a_ATC'!AA23*'07c_ATC_Ajustado'!$L$18,0)</f>
        <v>0</v>
      </c>
      <c r="AB23" s="427">
        <f>IFERROR('07a_ATC'!AB23*'07c_ATC_Ajustado'!$L$18,0)</f>
        <v>0</v>
      </c>
      <c r="AC23" s="427">
        <f>IFERROR('07a_ATC'!AC23*'07c_ATC_Ajustado'!$L$18,0)</f>
        <v>0</v>
      </c>
      <c r="AD23" s="427">
        <f>IFERROR('07a_ATC'!AD23*'07c_ATC_Ajustado'!$L$18,0)</f>
        <v>0</v>
      </c>
      <c r="AE23" s="427">
        <f>IFERROR('07a_ATC'!AE23*'07c_ATC_Ajustado'!$L$18,0)</f>
        <v>0</v>
      </c>
      <c r="AF23" s="427">
        <f>IFERROR('07a_ATC'!AF23*'07c_ATC_Ajustado'!$L$18,0)</f>
        <v>0</v>
      </c>
      <c r="AG23" s="427">
        <f>IFERROR('07a_ATC'!AG23*'07c_ATC_Ajustado'!$L$18,0)</f>
        <v>0</v>
      </c>
      <c r="AH23" s="427">
        <f>IFERROR('07a_ATC'!AH23*'07c_ATC_Ajustado'!$L$18,0)</f>
        <v>0</v>
      </c>
      <c r="AI23" s="427">
        <f>IFERROR('07a_ATC'!AI23*'07c_ATC_Ajustado'!$L$18,0)</f>
        <v>0</v>
      </c>
      <c r="AJ23" s="427">
        <f>IFERROR('07a_ATC'!AJ23*'07c_ATC_Ajustado'!$L$18,0)</f>
        <v>0</v>
      </c>
      <c r="AK23" s="427">
        <f>IFERROR('07a_ATC'!AK23*'07c_ATC_Ajustado'!$L$18,0)</f>
        <v>0</v>
      </c>
      <c r="AL23" s="427">
        <f>IFERROR('07a_ATC'!AL23*'07c_ATC_Ajustado'!$L$18,0)</f>
        <v>0</v>
      </c>
      <c r="AM23" s="427">
        <f>IFERROR('07a_ATC'!AM23*'07c_ATC_Ajustado'!$L$18,0)</f>
        <v>0</v>
      </c>
      <c r="AN23" s="427">
        <f>IFERROR('07a_ATC'!AN23*'07c_ATC_Ajustado'!$L$18,0)</f>
        <v>0</v>
      </c>
      <c r="AO23" s="427">
        <f>IFERROR('07a_ATC'!AO23*'07c_ATC_Ajustado'!$L$18,0)</f>
        <v>0</v>
      </c>
      <c r="AP23" s="427">
        <f>IFERROR('07a_ATC'!AP23*'07c_ATC_Ajustado'!$L$18,0)</f>
        <v>0</v>
      </c>
      <c r="AQ23" s="427">
        <f>IFERROR('07a_ATC'!AQ23*'07c_ATC_Ajustado'!$L$18,0)</f>
        <v>0</v>
      </c>
      <c r="AR23" s="427">
        <f>IFERROR('07a_ATC'!AR23*'07c_ATC_Ajustado'!$L$18,0)</f>
        <v>0</v>
      </c>
      <c r="AS23" s="427">
        <f>IFERROR('07a_ATC'!AS23*'07c_ATC_Ajustado'!$L$18,0)</f>
        <v>0</v>
      </c>
      <c r="AT23" s="427">
        <f>IFERROR('07a_ATC'!AT23*'07c_ATC_Ajustado'!$L$18,0)</f>
        <v>0</v>
      </c>
      <c r="AU23" s="427">
        <f>IFERROR('07a_ATC'!AU23*'07c_ATC_Ajustado'!$L$18,0)</f>
        <v>0</v>
      </c>
      <c r="AV23" s="427">
        <f>IFERROR('07a_ATC'!AV23*'07c_ATC_Ajustado'!$L$18,0)</f>
        <v>0</v>
      </c>
      <c r="AW23" s="427">
        <f>IFERROR('07a_ATC'!AW23*'07c_ATC_Ajustado'!$L$18,0)</f>
        <v>0</v>
      </c>
      <c r="AX23" s="427">
        <f>IFERROR('07a_ATC'!AX23*'07c_ATC_Ajustado'!$L$18,0)</f>
        <v>0</v>
      </c>
      <c r="AY23" s="427">
        <f>IFERROR('07a_ATC'!AY23*'07c_ATC_Ajustado'!$L$18,0)</f>
        <v>0</v>
      </c>
      <c r="AZ23" s="427">
        <f>IFERROR('07a_ATC'!AZ23*'07c_ATC_Ajustado'!$L$18,0)</f>
        <v>0</v>
      </c>
      <c r="BA23" s="427">
        <f>IFERROR('07a_ATC'!BA23*'07c_ATC_Ajustado'!$L$18,0)</f>
        <v>0</v>
      </c>
      <c r="BB23" s="427">
        <f>IFERROR('07a_ATC'!BB23*'07c_ATC_Ajustado'!$L$18,0)</f>
        <v>0</v>
      </c>
      <c r="BC23" s="427">
        <f>IFERROR('07a_ATC'!BC23*'07c_ATC_Ajustado'!$L$18,0)</f>
        <v>0</v>
      </c>
      <c r="BD23" s="427">
        <f>IFERROR('07a_ATC'!BD23*'07c_ATC_Ajustado'!$L$18,0)</f>
        <v>0</v>
      </c>
      <c r="BE23" s="427">
        <f>IFERROR('07a_ATC'!BE23*'07c_ATC_Ajustado'!$L$18,0)</f>
        <v>0</v>
      </c>
      <c r="BF23" s="427">
        <f>IFERROR('07a_ATC'!BF23*'07c_ATC_Ajustado'!$L$18,0)</f>
        <v>0</v>
      </c>
    </row>
    <row r="24" spans="1:58">
      <c r="A24" s="450"/>
      <c r="B24" s="424"/>
      <c r="C24" s="424"/>
      <c r="D24" s="424"/>
      <c r="E24" s="424"/>
      <c r="F24" s="424"/>
      <c r="G24" s="424"/>
      <c r="H24" s="462"/>
      <c r="I24" s="424"/>
      <c r="J24" s="424"/>
      <c r="K24" s="459"/>
      <c r="L24" s="468" t="str">
        <f>'00_Datos_Mercado'!$B$8</f>
        <v xml:space="preserve">f_RES - VIS Ru </v>
      </c>
      <c r="M24" s="429">
        <f t="shared" si="9"/>
        <v>20617.187470251065</v>
      </c>
      <c r="N24" s="427">
        <f>IFERROR('07a_ATC'!N24*'07c_ATC_Ajustado'!$L$18,0)</f>
        <v>0</v>
      </c>
      <c r="O24" s="427">
        <f>IFERROR('07a_ATC'!O24*'07c_ATC_Ajustado'!$L$18,0)</f>
        <v>0</v>
      </c>
      <c r="P24" s="427">
        <f>IFERROR('07a_ATC'!P24*'07c_ATC_Ajustado'!$L$18,0)</f>
        <v>0</v>
      </c>
      <c r="Q24" s="427">
        <f>IFERROR('07a_ATC'!Q24*'07c_ATC_Ajustado'!$L$18,0)</f>
        <v>0</v>
      </c>
      <c r="R24" s="427">
        <f>IFERROR('07a_ATC'!R24*'07c_ATC_Ajustado'!$L$18,0)</f>
        <v>0</v>
      </c>
      <c r="S24" s="427">
        <f>IFERROR('07a_ATC'!R26*'07c_ATC_Ajustado'!$L$18,0)</f>
        <v>5154.2968675627662</v>
      </c>
      <c r="T24" s="427">
        <f>IFERROR('07a_ATC'!T24*'07c_ATC_Ajustado'!$L$18,0)</f>
        <v>5154.2968675627662</v>
      </c>
      <c r="U24" s="427">
        <f>IFERROR('07a_ATC'!U24*'07c_ATC_Ajustado'!$L$18,0)</f>
        <v>5154.2968675627662</v>
      </c>
      <c r="V24" s="427">
        <f>IFERROR('07a_ATC'!V24*'07c_ATC_Ajustado'!$L$18,0)</f>
        <v>5154.2968675627662</v>
      </c>
      <c r="W24" s="427">
        <f>IFERROR('07a_ATC'!W24*'07c_ATC_Ajustado'!$L$18,0)</f>
        <v>0</v>
      </c>
      <c r="X24" s="427">
        <f>IFERROR('07a_ATC'!X24*'07c_ATC_Ajustado'!$L$18,0)</f>
        <v>0</v>
      </c>
      <c r="Y24" s="427">
        <f>IFERROR('07a_ATC'!Y24*'07c_ATC_Ajustado'!$L$18,0)</f>
        <v>0</v>
      </c>
      <c r="Z24" s="427">
        <f>IFERROR('07a_ATC'!Z24*'07c_ATC_Ajustado'!$L$18,0)</f>
        <v>0</v>
      </c>
      <c r="AA24" s="427">
        <f>IFERROR('07a_ATC'!AA24*'07c_ATC_Ajustado'!$L$18,0)</f>
        <v>0</v>
      </c>
      <c r="AB24" s="427">
        <f>IFERROR('07a_ATC'!AB24*'07c_ATC_Ajustado'!$L$18,0)</f>
        <v>0</v>
      </c>
      <c r="AC24" s="427">
        <f>IFERROR('07a_ATC'!AC24*'07c_ATC_Ajustado'!$L$18,0)</f>
        <v>0</v>
      </c>
      <c r="AD24" s="427">
        <f>IFERROR('07a_ATC'!AD24*'07c_ATC_Ajustado'!$L$18,0)</f>
        <v>0</v>
      </c>
      <c r="AE24" s="427">
        <f>IFERROR('07a_ATC'!AE24*'07c_ATC_Ajustado'!$L$18,0)</f>
        <v>0</v>
      </c>
      <c r="AF24" s="427">
        <f>IFERROR('07a_ATC'!AF24*'07c_ATC_Ajustado'!$L$18,0)</f>
        <v>0</v>
      </c>
      <c r="AG24" s="427">
        <f>IFERROR('07a_ATC'!AG24*'07c_ATC_Ajustado'!$L$18,0)</f>
        <v>0</v>
      </c>
      <c r="AH24" s="427">
        <f>IFERROR('07a_ATC'!AH24*'07c_ATC_Ajustado'!$L$18,0)</f>
        <v>0</v>
      </c>
      <c r="AI24" s="427">
        <f>IFERROR('07a_ATC'!AI24*'07c_ATC_Ajustado'!$L$18,0)</f>
        <v>0</v>
      </c>
      <c r="AJ24" s="427">
        <f>IFERROR('07a_ATC'!AJ24*'07c_ATC_Ajustado'!$L$18,0)</f>
        <v>0</v>
      </c>
      <c r="AK24" s="427">
        <f>IFERROR('07a_ATC'!AK24*'07c_ATC_Ajustado'!$L$18,0)</f>
        <v>0</v>
      </c>
      <c r="AL24" s="427">
        <f>IFERROR('07a_ATC'!AL24*'07c_ATC_Ajustado'!$L$18,0)</f>
        <v>0</v>
      </c>
      <c r="AM24" s="427">
        <f>IFERROR('07a_ATC'!AM24*'07c_ATC_Ajustado'!$L$18,0)</f>
        <v>0</v>
      </c>
      <c r="AN24" s="427">
        <f>IFERROR('07a_ATC'!AN24*'07c_ATC_Ajustado'!$L$18,0)</f>
        <v>0</v>
      </c>
      <c r="AO24" s="427">
        <f>IFERROR('07a_ATC'!AO24*'07c_ATC_Ajustado'!$L$18,0)</f>
        <v>0</v>
      </c>
      <c r="AP24" s="427">
        <f>IFERROR('07a_ATC'!AP24*'07c_ATC_Ajustado'!$L$18,0)</f>
        <v>0</v>
      </c>
      <c r="AQ24" s="427">
        <f>IFERROR('07a_ATC'!AQ24*'07c_ATC_Ajustado'!$L$18,0)</f>
        <v>0</v>
      </c>
      <c r="AR24" s="427">
        <f>IFERROR('07a_ATC'!AR24*'07c_ATC_Ajustado'!$L$18,0)</f>
        <v>0</v>
      </c>
      <c r="AS24" s="427">
        <f>IFERROR('07a_ATC'!AS24*'07c_ATC_Ajustado'!$L$18,0)</f>
        <v>0</v>
      </c>
      <c r="AT24" s="427">
        <f>IFERROR('07a_ATC'!AT24*'07c_ATC_Ajustado'!$L$18,0)</f>
        <v>0</v>
      </c>
      <c r="AU24" s="427">
        <f>IFERROR('07a_ATC'!AU24*'07c_ATC_Ajustado'!$L$18,0)</f>
        <v>0</v>
      </c>
      <c r="AV24" s="427">
        <f>IFERROR('07a_ATC'!AV24*'07c_ATC_Ajustado'!$L$18,0)</f>
        <v>0</v>
      </c>
      <c r="AW24" s="427">
        <f>IFERROR('07a_ATC'!AW24*'07c_ATC_Ajustado'!$L$18,0)</f>
        <v>0</v>
      </c>
      <c r="AX24" s="427">
        <f>IFERROR('07a_ATC'!AX24*'07c_ATC_Ajustado'!$L$18,0)</f>
        <v>0</v>
      </c>
      <c r="AY24" s="427">
        <f>IFERROR('07a_ATC'!AY24*'07c_ATC_Ajustado'!$L$18,0)</f>
        <v>0</v>
      </c>
      <c r="AZ24" s="427">
        <f>IFERROR('07a_ATC'!AZ24*'07c_ATC_Ajustado'!$L$18,0)</f>
        <v>0</v>
      </c>
      <c r="BA24" s="427">
        <f>IFERROR('07a_ATC'!BA24*'07c_ATC_Ajustado'!$L$18,0)</f>
        <v>0</v>
      </c>
      <c r="BB24" s="427">
        <f>IFERROR('07a_ATC'!BB24*'07c_ATC_Ajustado'!$L$18,0)</f>
        <v>0</v>
      </c>
      <c r="BC24" s="427">
        <f>IFERROR('07a_ATC'!BC24*'07c_ATC_Ajustado'!$L$18,0)</f>
        <v>0</v>
      </c>
      <c r="BD24" s="427">
        <f>IFERROR('07a_ATC'!BD24*'07c_ATC_Ajustado'!$L$18,0)</f>
        <v>0</v>
      </c>
      <c r="BE24" s="427">
        <f>IFERROR('07a_ATC'!BE24*'07c_ATC_Ajustado'!$L$18,0)</f>
        <v>0</v>
      </c>
      <c r="BF24" s="427">
        <f>IFERROR('07a_ATC'!BF24*'07c_ATC_Ajustado'!$L$18,0)</f>
        <v>0</v>
      </c>
    </row>
    <row r="25" spans="1:58">
      <c r="A25" s="450"/>
      <c r="B25" s="424"/>
      <c r="C25" s="424"/>
      <c r="D25" s="424"/>
      <c r="E25" s="424"/>
      <c r="F25" s="424"/>
      <c r="G25" s="424"/>
      <c r="H25" s="462"/>
      <c r="I25" s="424"/>
      <c r="J25" s="424"/>
      <c r="K25" s="459"/>
      <c r="L25" s="469" t="str">
        <f>'00_Datos_Mercado'!$B$10</f>
        <v>i_RES - No VIS</v>
      </c>
      <c r="M25" s="429">
        <f t="shared" si="9"/>
        <v>139166.01542419466</v>
      </c>
      <c r="N25" s="427">
        <f>IFERROR('07a_ATC'!N25*'07c_ATC_Ajustado'!$L$18,0)</f>
        <v>0</v>
      </c>
      <c r="O25" s="427">
        <f>IFERROR('07a_ATC'!O25*'07c_ATC_Ajustado'!$L$18,0)</f>
        <v>0</v>
      </c>
      <c r="P25" s="427">
        <f>IFERROR('07a_ATC'!P25*'07c_ATC_Ajustado'!$L$18,0)</f>
        <v>0</v>
      </c>
      <c r="Q25" s="427">
        <f>IFERROR('07a_ATC'!Q25*'07c_ATC_Ajustado'!$L$18,0)</f>
        <v>0</v>
      </c>
      <c r="R25" s="427">
        <f>IFERROR('07a_ATC'!R25*'07c_ATC_Ajustado'!$L$18,0)</f>
        <v>0</v>
      </c>
      <c r="S25" s="427">
        <f>IFERROR('07a_ATC'!S25*'07c_ATC_Ajustado'!$L$18,0)</f>
        <v>0</v>
      </c>
      <c r="T25" s="427">
        <f>IFERROR('07a_ATC'!T25*'07c_ATC_Ajustado'!$L$18,0)</f>
        <v>0</v>
      </c>
      <c r="U25" s="427">
        <f>IFERROR('07a_ATC'!U25*'07c_ATC_Ajustado'!$L$18,0)</f>
        <v>0</v>
      </c>
      <c r="V25" s="427">
        <f>IFERROR('07a_ATC'!V25*'07c_ATC_Ajustado'!$L$18,0)</f>
        <v>0</v>
      </c>
      <c r="W25" s="427">
        <f>IFERROR('07a_ATC'!W25*'07c_ATC_Ajustado'!$L$18,0)</f>
        <v>5154.2968675627662</v>
      </c>
      <c r="X25" s="427">
        <f>IFERROR('07a_ATC'!X25*'07c_ATC_Ajustado'!$L$18,0)</f>
        <v>5154.2968675627662</v>
      </c>
      <c r="Y25" s="427">
        <f>IFERROR('07a_ATC'!Y25*'07c_ATC_Ajustado'!$L$18,0)</f>
        <v>5154.2968675627662</v>
      </c>
      <c r="Z25" s="427">
        <f>IFERROR('07a_ATC'!Z25*'07c_ATC_Ajustado'!$L$18,0)</f>
        <v>5154.2968675627662</v>
      </c>
      <c r="AA25" s="427">
        <f>IFERROR('07a_ATC'!AA25*'07c_ATC_Ajustado'!$L$18,0)</f>
        <v>5154.2968675627662</v>
      </c>
      <c r="AB25" s="427">
        <f>IFERROR('07a_ATC'!AB25*'07c_ATC_Ajustado'!$L$18,0)</f>
        <v>5154.2968675627662</v>
      </c>
      <c r="AC25" s="427">
        <f>IFERROR('07a_ATC'!AC25*'07c_ATC_Ajustado'!$L$18,0)</f>
        <v>5154.2968675627662</v>
      </c>
      <c r="AD25" s="427">
        <f>IFERROR('07a_ATC'!AD25*'07c_ATC_Ajustado'!$L$18,0)</f>
        <v>5154.2968675627662</v>
      </c>
      <c r="AE25" s="427">
        <f>IFERROR('07a_ATC'!AE25*'07c_ATC_Ajustado'!$L$18,0)</f>
        <v>5154.2968675627662</v>
      </c>
      <c r="AF25" s="427">
        <f>IFERROR('07a_ATC'!AF25*'07c_ATC_Ajustado'!$L$18,0)</f>
        <v>5154.2968675627662</v>
      </c>
      <c r="AG25" s="427">
        <f>IFERROR('07a_ATC'!AG25*'07c_ATC_Ajustado'!$L$18,0)</f>
        <v>5154.2968675627662</v>
      </c>
      <c r="AH25" s="427">
        <f>IFERROR('07a_ATC'!AH25*'07c_ATC_Ajustado'!$L$18,0)</f>
        <v>5154.2968675627662</v>
      </c>
      <c r="AI25" s="427">
        <f>IFERROR('07a_ATC'!AI25*'07c_ATC_Ajustado'!$L$18,0)</f>
        <v>5154.2968675627662</v>
      </c>
      <c r="AJ25" s="427">
        <f>IFERROR('07a_ATC'!AJ25*'07c_ATC_Ajustado'!$L$18,0)</f>
        <v>5154.2968675627662</v>
      </c>
      <c r="AK25" s="427">
        <f>IFERROR('07a_ATC'!AK25*'07c_ATC_Ajustado'!$L$18,0)</f>
        <v>5154.2968675627662</v>
      </c>
      <c r="AL25" s="427">
        <f>IFERROR('07a_ATC'!AL25*'07c_ATC_Ajustado'!$L$18,0)</f>
        <v>5154.2968675627662</v>
      </c>
      <c r="AM25" s="427">
        <f>IFERROR('07a_ATC'!AM25*'07c_ATC_Ajustado'!$L$18,0)</f>
        <v>5154.2968675627662</v>
      </c>
      <c r="AN25" s="427">
        <f>IFERROR('07a_ATC'!AN25*'07c_ATC_Ajustado'!$L$18,0)</f>
        <v>5154.2968675627662</v>
      </c>
      <c r="AO25" s="427">
        <f>IFERROR('07a_ATC'!AO25*'07c_ATC_Ajustado'!$L$18,0)</f>
        <v>5154.2968675627662</v>
      </c>
      <c r="AP25" s="427">
        <f>IFERROR('07a_ATC'!AP25*'07c_ATC_Ajustado'!$L$18,0)</f>
        <v>5154.2968675627662</v>
      </c>
      <c r="AQ25" s="427">
        <f>IFERROR('07a_ATC'!AQ25*'07c_ATC_Ajustado'!$L$18,0)</f>
        <v>5154.2968675627662</v>
      </c>
      <c r="AR25" s="427">
        <f>IFERROR('07a_ATC'!AR25*'07c_ATC_Ajustado'!$L$18,0)</f>
        <v>5154.2968675627662</v>
      </c>
      <c r="AS25" s="427">
        <f>IFERROR('07a_ATC'!AS25*'07c_ATC_Ajustado'!$L$18,0)</f>
        <v>5154.2968675627662</v>
      </c>
      <c r="AT25" s="427">
        <f>IFERROR('07a_ATC'!AT25*'07c_ATC_Ajustado'!$L$18,0)</f>
        <v>5154.2968675627662</v>
      </c>
      <c r="AU25" s="427">
        <f>IFERROR('07a_ATC'!AU25*'07c_ATC_Ajustado'!$L$18,0)</f>
        <v>5154.2968675627662</v>
      </c>
      <c r="AV25" s="427">
        <f>IFERROR('07a_ATC'!AV25*'07c_ATC_Ajustado'!$L$18,0)</f>
        <v>5154.2968675627662</v>
      </c>
      <c r="AW25" s="427">
        <f>IFERROR('07a_ATC'!AW25*'07c_ATC_Ajustado'!$L$18,0)</f>
        <v>5154.2968675627662</v>
      </c>
      <c r="AX25" s="427">
        <f>IFERROR('07a_ATC'!AX25*'07c_ATC_Ajustado'!$L$18,0)</f>
        <v>0</v>
      </c>
      <c r="AY25" s="427">
        <f>IFERROR('07a_ATC'!AY25*'07c_ATC_Ajustado'!$L$18,0)</f>
        <v>0</v>
      </c>
      <c r="AZ25" s="427">
        <f>IFERROR('07a_ATC'!AZ25*'07c_ATC_Ajustado'!$L$18,0)</f>
        <v>0</v>
      </c>
      <c r="BA25" s="427">
        <f>IFERROR('07a_ATC'!BA25*'07c_ATC_Ajustado'!$L$18,0)</f>
        <v>0</v>
      </c>
      <c r="BB25" s="427">
        <f>IFERROR('07a_ATC'!BB25*'07c_ATC_Ajustado'!$L$18,0)</f>
        <v>0</v>
      </c>
      <c r="BC25" s="427">
        <f>IFERROR('07a_ATC'!BC25*'07c_ATC_Ajustado'!$L$18,0)</f>
        <v>0</v>
      </c>
      <c r="BD25" s="427">
        <f>IFERROR('07a_ATC'!BD25*'07c_ATC_Ajustado'!$L$18,0)</f>
        <v>0</v>
      </c>
      <c r="BE25" s="427">
        <f>IFERROR('07a_ATC'!BE25*'07c_ATC_Ajustado'!$L$18,0)</f>
        <v>0</v>
      </c>
      <c r="BF25" s="427">
        <f>IFERROR('07a_ATC'!BF25*'07c_ATC_Ajustado'!$L$18,0)</f>
        <v>0</v>
      </c>
    </row>
    <row r="26" spans="1:58">
      <c r="A26" s="450"/>
      <c r="B26" s="424"/>
      <c r="C26" s="424"/>
      <c r="D26" s="424"/>
      <c r="E26" s="424"/>
      <c r="F26" s="424"/>
      <c r="G26" s="424"/>
      <c r="H26" s="462"/>
      <c r="I26" s="424"/>
      <c r="J26" s="424"/>
      <c r="K26" s="459"/>
      <c r="L26" s="470" t="s">
        <v>697</v>
      </c>
      <c r="M26" s="471">
        <f t="shared" ref="M26" si="10">SUM(N26:BF26)</f>
        <v>10308.593735125532</v>
      </c>
      <c r="N26" s="472">
        <f>IFERROR('07a_ATC'!N26*'07c_ATC_Ajustado'!$L$18,0)</f>
        <v>0</v>
      </c>
      <c r="O26" s="472">
        <f>IFERROR('07a_ATC'!O26*'07c_ATC_Ajustado'!$L$18,0)</f>
        <v>0</v>
      </c>
      <c r="P26" s="472">
        <f>IFERROR('07a_ATC'!P26*'07c_ATC_Ajustado'!$L$18,0)</f>
        <v>0</v>
      </c>
      <c r="Q26" s="472">
        <f>IFERROR('07a_ATC'!Q26*'07c_ATC_Ajustado'!$L$18,0)</f>
        <v>0</v>
      </c>
      <c r="R26" s="472">
        <f>IFERROR('07a_ATC'!R26*'07c_ATC_Ajustado'!$L$18,0)</f>
        <v>5154.2968675627662</v>
      </c>
      <c r="S26" s="472"/>
      <c r="T26" s="472">
        <f>IFERROR('07a_ATC'!T26*'07c_ATC_Ajustado'!$L$18,0)</f>
        <v>0</v>
      </c>
      <c r="U26" s="472">
        <f>IFERROR('07a_ATC'!U26*'07c_ATC_Ajustado'!$L$18,0)</f>
        <v>0</v>
      </c>
      <c r="V26" s="472">
        <f>IFERROR('07a_ATC'!V26*'07c_ATC_Ajustado'!$L$18,0)</f>
        <v>0</v>
      </c>
      <c r="W26" s="472">
        <f>IFERROR('07a_ATC'!W26*'07c_ATC_Ajustado'!$L$18,0)</f>
        <v>0</v>
      </c>
      <c r="X26" s="472">
        <f>IFERROR('07a_ATC'!X26*'07c_ATC_Ajustado'!$L$18,0)</f>
        <v>0</v>
      </c>
      <c r="Y26" s="472">
        <f>IFERROR('07a_ATC'!Y26*'07c_ATC_Ajustado'!$L$18,0)</f>
        <v>0</v>
      </c>
      <c r="Z26" s="472">
        <f>IFERROR('07a_ATC'!Z26*'07c_ATC_Ajustado'!$L$18,0)</f>
        <v>0</v>
      </c>
      <c r="AA26" s="472">
        <f>IFERROR('07a_ATC'!AA26*'07c_ATC_Ajustado'!$L$18,0)</f>
        <v>0</v>
      </c>
      <c r="AB26" s="472">
        <f>IFERROR('07a_ATC'!AB26*'07c_ATC_Ajustado'!$L$18,0)</f>
        <v>0</v>
      </c>
      <c r="AC26" s="472">
        <f>IFERROR('07a_ATC'!AC26*'07c_ATC_Ajustado'!$L$18,0)</f>
        <v>0</v>
      </c>
      <c r="AD26" s="472">
        <f>IFERROR('07a_ATC'!AD26*'07c_ATC_Ajustado'!$L$18,0)</f>
        <v>0</v>
      </c>
      <c r="AE26" s="472">
        <f>IFERROR('07a_ATC'!AE26*'07c_ATC_Ajustado'!$L$18,0)</f>
        <v>0</v>
      </c>
      <c r="AF26" s="472">
        <f>IFERROR('07a_ATC'!AF26*'07c_ATC_Ajustado'!$L$18,0)</f>
        <v>0</v>
      </c>
      <c r="AG26" s="472">
        <f>IFERROR('07a_ATC'!AG26*'07c_ATC_Ajustado'!$L$18,0)</f>
        <v>0</v>
      </c>
      <c r="AH26" s="472">
        <f>IFERROR('07a_ATC'!AH26*'07c_ATC_Ajustado'!$L$18,0)</f>
        <v>0</v>
      </c>
      <c r="AI26" s="472">
        <f>IFERROR('07a_ATC'!AI26*'07c_ATC_Ajustado'!$L$18,0)</f>
        <v>0</v>
      </c>
      <c r="AJ26" s="472">
        <f>IFERROR('07a_ATC'!AJ26*'07c_ATC_Ajustado'!$L$18,0)</f>
        <v>0</v>
      </c>
      <c r="AK26" s="472">
        <f>IFERROR('07a_ATC'!AK26*'07c_ATC_Ajustado'!$L$18,0)</f>
        <v>0</v>
      </c>
      <c r="AL26" s="472">
        <f>IFERROR('07a_ATC'!AL26*'07c_ATC_Ajustado'!$L$18,0)</f>
        <v>0</v>
      </c>
      <c r="AM26" s="472">
        <f>IFERROR('07a_ATC'!AM26*'07c_ATC_Ajustado'!$L$18,0)</f>
        <v>0</v>
      </c>
      <c r="AN26" s="472">
        <f>IFERROR('07a_ATC'!AN26*'07c_ATC_Ajustado'!$L$18,0)</f>
        <v>0</v>
      </c>
      <c r="AO26" s="472">
        <f>IFERROR('07a_ATC'!AO26*'07c_ATC_Ajustado'!$L$18,0)</f>
        <v>0</v>
      </c>
      <c r="AP26" s="472">
        <f>IFERROR('07a_ATC'!AP26*'07c_ATC_Ajustado'!$L$18,0)</f>
        <v>0</v>
      </c>
      <c r="AQ26" s="472">
        <f>IFERROR('07a_ATC'!AQ26*'07c_ATC_Ajustado'!$L$18,0)</f>
        <v>0</v>
      </c>
      <c r="AR26" s="472">
        <f>IFERROR('07a_ATC'!AR26*'07c_ATC_Ajustado'!$L$18,0)</f>
        <v>0</v>
      </c>
      <c r="AS26" s="472">
        <f>IFERROR('07a_ATC'!AS26*'07c_ATC_Ajustado'!$L$18,0)</f>
        <v>0</v>
      </c>
      <c r="AT26" s="472">
        <f>IFERROR('07a_ATC'!AT26*'07c_ATC_Ajustado'!$L$18,0)</f>
        <v>0</v>
      </c>
      <c r="AU26" s="472">
        <f>IFERROR('07a_ATC'!AU26*'07c_ATC_Ajustado'!$L$18,0)</f>
        <v>0</v>
      </c>
      <c r="AV26" s="472">
        <f>IFERROR('07a_ATC'!AV26*'07c_ATC_Ajustado'!$L$18,0)</f>
        <v>0</v>
      </c>
      <c r="AW26" s="472">
        <f>IFERROR('07a_ATC'!AW26*'07c_ATC_Ajustado'!$L$18,0)</f>
        <v>0</v>
      </c>
      <c r="AX26" s="472">
        <f>IFERROR('07a_ATC'!AX26*'07c_ATC_Ajustado'!$L$18,0)</f>
        <v>5154.2968675627662</v>
      </c>
      <c r="AY26" s="472">
        <f>IFERROR('07a_ATC'!AY26*'07c_ATC_Ajustado'!$L$18,0)</f>
        <v>0</v>
      </c>
      <c r="AZ26" s="472">
        <f>IFERROR('07a_ATC'!AZ26*'07c_ATC_Ajustado'!$L$18,0)</f>
        <v>0</v>
      </c>
      <c r="BA26" s="472">
        <f>IFERROR('07a_ATC'!BA26*'07c_ATC_Ajustado'!$L$18,0)</f>
        <v>0</v>
      </c>
      <c r="BB26" s="472">
        <f>IFERROR('07a_ATC'!BB26*'07c_ATC_Ajustado'!$L$18,0)</f>
        <v>0</v>
      </c>
      <c r="BC26" s="472">
        <f>IFERROR('07a_ATC'!BC26*'07c_ATC_Ajustado'!$L$18,0)</f>
        <v>0</v>
      </c>
      <c r="BD26" s="472">
        <f>IFERROR('07a_ATC'!BD26*'07c_ATC_Ajustado'!$L$18,0)</f>
        <v>0</v>
      </c>
      <c r="BE26" s="472">
        <f>IFERROR('07a_ATC'!BE26*'07c_ATC_Ajustado'!$L$18,0)</f>
        <v>0</v>
      </c>
      <c r="BF26" s="472">
        <f>IFERROR('07a_ATC'!BF26*'07c_ATC_Ajustado'!$L$18,0)</f>
        <v>0</v>
      </c>
    </row>
    <row r="27" spans="1:58" s="456" customFormat="1" ht="15.6">
      <c r="A27" s="450">
        <v>3</v>
      </c>
      <c r="B27" s="452">
        <f>SUMIF('04a_PROPUESTA_MO'!$R$9:$R$42,'07c_ATC_Ajustado'!A27,'04a_PROPUESTA_MO'!$T$9:$T$42)</f>
        <v>19436.47454042</v>
      </c>
      <c r="C27" s="452">
        <f>SUMIF('04a_PROPUESTA_MO'!$R$9:$R$42,'07c_ATC_Ajustado'!A27,'04a_PROPUESTA_MO'!$AH$9:$AH$42)</f>
        <v>2936.0801443705127</v>
      </c>
      <c r="D27" s="452">
        <f>SUMIF('04a_PROPUESTA_MO'!$R$9:$R$42,'07c_ATC_Ajustado'!A27,'04a_PROPUESTA_MO'!$AI$9:$AI$42)</f>
        <v>9141.2862344640271</v>
      </c>
      <c r="E27" s="452">
        <f>SUMIF('04a_PROPUESTA_MO'!$R$9:$R$42,'07c_ATC_Ajustado'!A27,'04a_PROPUESTA_MO'!$AJ$9:$AJ$42)</f>
        <v>0</v>
      </c>
      <c r="F27" s="452">
        <f t="shared" si="4"/>
        <v>12077.36637883454</v>
      </c>
      <c r="G27" s="452">
        <f t="shared" si="5"/>
        <v>7359.10816158546</v>
      </c>
      <c r="H27" s="453">
        <f>G27/$G$7</f>
        <v>0.12760312517476829</v>
      </c>
      <c r="I27" s="452">
        <f t="shared" si="6"/>
        <v>1927.30540823921</v>
      </c>
      <c r="J27" s="452">
        <f>SUMIF('04a_PROPUESTA_MO'!$R$9:$R$42,'07c_ATC_Ajustado'!A27,'04a_PROPUESTA_MO'!$AN$9:$AN$42)</f>
        <v>5431.80275334625</v>
      </c>
      <c r="K27" s="454">
        <f t="shared" si="7"/>
        <v>0.12359600628264419</v>
      </c>
      <c r="L27" s="460">
        <f>1+'07b_ATC_Ajuste'!$E$7</f>
        <v>1.0664621375104533</v>
      </c>
      <c r="M27" s="461">
        <f>SUM(M28:M34)</f>
        <v>191032.84584160295</v>
      </c>
      <c r="N27" s="461">
        <f t="shared" ref="N27:BF27" si="11">SUM(N28:N34)</f>
        <v>5431.811604981991</v>
      </c>
      <c r="O27" s="461">
        <f t="shared" si="11"/>
        <v>5898.3034731718144</v>
      </c>
      <c r="P27" s="461">
        <f t="shared" si="11"/>
        <v>5898.3034731718144</v>
      </c>
      <c r="Q27" s="461">
        <f t="shared" si="11"/>
        <v>5898.3034731718144</v>
      </c>
      <c r="R27" s="461">
        <f t="shared" si="11"/>
        <v>0</v>
      </c>
      <c r="S27" s="461">
        <f t="shared" si="11"/>
        <v>5416.3265747453397</v>
      </c>
      <c r="T27" s="461">
        <f t="shared" si="11"/>
        <v>5416.3265747453397</v>
      </c>
      <c r="U27" s="461">
        <f t="shared" si="11"/>
        <v>5416.3265747453397</v>
      </c>
      <c r="V27" s="461">
        <f t="shared" si="11"/>
        <v>5416.3265747453397</v>
      </c>
      <c r="W27" s="461">
        <f t="shared" si="11"/>
        <v>5416.3265747453397</v>
      </c>
      <c r="X27" s="461">
        <f t="shared" si="11"/>
        <v>5416.3265747453397</v>
      </c>
      <c r="Y27" s="461">
        <f t="shared" si="11"/>
        <v>5416.3265747453397</v>
      </c>
      <c r="Z27" s="461">
        <f t="shared" si="11"/>
        <v>5416.3265747453397</v>
      </c>
      <c r="AA27" s="461">
        <f t="shared" si="11"/>
        <v>5416.3265747453397</v>
      </c>
      <c r="AB27" s="461">
        <f t="shared" si="11"/>
        <v>5416.3265747453397</v>
      </c>
      <c r="AC27" s="461">
        <f t="shared" si="11"/>
        <v>5416.3265747453397</v>
      </c>
      <c r="AD27" s="461">
        <f t="shared" si="11"/>
        <v>5416.3265747453397</v>
      </c>
      <c r="AE27" s="461">
        <f t="shared" si="11"/>
        <v>5416.3265747453397</v>
      </c>
      <c r="AF27" s="461">
        <f t="shared" si="11"/>
        <v>5416.3265747453397</v>
      </c>
      <c r="AG27" s="461">
        <f t="shared" si="11"/>
        <v>5416.3265747453397</v>
      </c>
      <c r="AH27" s="461">
        <f t="shared" si="11"/>
        <v>5416.3265747453397</v>
      </c>
      <c r="AI27" s="461">
        <f t="shared" si="11"/>
        <v>5416.3265747453397</v>
      </c>
      <c r="AJ27" s="461">
        <f t="shared" si="11"/>
        <v>5416.3265747453397</v>
      </c>
      <c r="AK27" s="461">
        <f t="shared" si="11"/>
        <v>5416.3265747453397</v>
      </c>
      <c r="AL27" s="461">
        <f t="shared" si="11"/>
        <v>5416.3265747453397</v>
      </c>
      <c r="AM27" s="461">
        <f t="shared" si="11"/>
        <v>5416.3265747453397</v>
      </c>
      <c r="AN27" s="461">
        <f t="shared" si="11"/>
        <v>5416.3265747453397</v>
      </c>
      <c r="AO27" s="461">
        <f t="shared" si="11"/>
        <v>5416.3265747453397</v>
      </c>
      <c r="AP27" s="461">
        <f t="shared" si="11"/>
        <v>5416.3265747453397</v>
      </c>
      <c r="AQ27" s="461">
        <f t="shared" si="11"/>
        <v>5416.3265747453397</v>
      </c>
      <c r="AR27" s="461">
        <f t="shared" si="11"/>
        <v>5416.3265747453397</v>
      </c>
      <c r="AS27" s="461">
        <f t="shared" si="11"/>
        <v>5416.3265747453397</v>
      </c>
      <c r="AT27" s="461">
        <f t="shared" si="11"/>
        <v>5416.3265747453397</v>
      </c>
      <c r="AU27" s="461">
        <f t="shared" si="11"/>
        <v>5416.3265747453397</v>
      </c>
      <c r="AV27" s="461">
        <f t="shared" si="11"/>
        <v>5416.3265747453397</v>
      </c>
      <c r="AW27" s="461">
        <f t="shared" si="11"/>
        <v>5416.3265747453397</v>
      </c>
      <c r="AX27" s="461">
        <f t="shared" si="11"/>
        <v>0</v>
      </c>
      <c r="AY27" s="461">
        <f t="shared" si="11"/>
        <v>0</v>
      </c>
      <c r="AZ27" s="461">
        <f t="shared" si="11"/>
        <v>0</v>
      </c>
      <c r="BA27" s="461">
        <f t="shared" si="11"/>
        <v>0</v>
      </c>
      <c r="BB27" s="461">
        <f t="shared" si="11"/>
        <v>0</v>
      </c>
      <c r="BC27" s="461">
        <f t="shared" si="11"/>
        <v>0</v>
      </c>
      <c r="BD27" s="461">
        <f t="shared" si="11"/>
        <v>0</v>
      </c>
      <c r="BE27" s="461">
        <f t="shared" si="11"/>
        <v>0</v>
      </c>
      <c r="BF27" s="461">
        <f t="shared" si="11"/>
        <v>0</v>
      </c>
    </row>
    <row r="28" spans="1:58">
      <c r="A28" s="450"/>
      <c r="B28" s="424"/>
      <c r="C28" s="424"/>
      <c r="D28" s="424"/>
      <c r="E28" s="424"/>
      <c r="F28" s="424"/>
      <c r="G28" s="424"/>
      <c r="H28" s="462"/>
      <c r="I28" s="424"/>
      <c r="J28" s="424"/>
      <c r="K28" s="459"/>
      <c r="L28" s="463" t="str">
        <f>'00_Datos_Mercado'!$B$3</f>
        <v xml:space="preserve">a_CS - Creativos </v>
      </c>
      <c r="M28" s="429">
        <f t="shared" ref="M28:M35" si="12">SUM(N28:BF28)</f>
        <v>3864.506853832504</v>
      </c>
      <c r="N28" s="427">
        <f>IFERROR('07a_ATC'!N28*'07c_ATC_Ajustado'!$L$27,0)</f>
        <v>1835.3066863058643</v>
      </c>
      <c r="O28" s="427">
        <f>IFERROR('07a_ATC'!O28*'07c_ATC_Ajustado'!$L$27,0)</f>
        <v>2029.2001675266399</v>
      </c>
      <c r="P28" s="427">
        <f>IFERROR('07a_ATC'!P28*'07c_ATC_Ajustado'!$L$27,0)</f>
        <v>0</v>
      </c>
      <c r="Q28" s="427">
        <f>IFERROR('07a_ATC'!Q28*'07c_ATC_Ajustado'!$L$27,0)</f>
        <v>0</v>
      </c>
      <c r="R28" s="427">
        <f>IFERROR('07a_ATC'!R28*'07c_ATC_Ajustado'!$L$27,0)</f>
        <v>0</v>
      </c>
      <c r="S28" s="427">
        <f>IFERROR('07a_ATC'!S28*'07c_ATC_Ajustado'!$L$27,0)</f>
        <v>0</v>
      </c>
      <c r="T28" s="427">
        <f>IFERROR('07a_ATC'!T28*'07c_ATC_Ajustado'!$L$27,0)</f>
        <v>0</v>
      </c>
      <c r="U28" s="427">
        <f>IFERROR('07a_ATC'!U28*'07c_ATC_Ajustado'!$L$27,0)</f>
        <v>0</v>
      </c>
      <c r="V28" s="427">
        <f>IFERROR('07a_ATC'!V28*'07c_ATC_Ajustado'!$L$27,0)</f>
        <v>0</v>
      </c>
      <c r="W28" s="427">
        <f>IFERROR('07a_ATC'!W28*'07c_ATC_Ajustado'!$L$27,0)</f>
        <v>0</v>
      </c>
      <c r="X28" s="427">
        <f>IFERROR('07a_ATC'!X28*'07c_ATC_Ajustado'!$L$27,0)</f>
        <v>0</v>
      </c>
      <c r="Y28" s="427">
        <f>IFERROR('07a_ATC'!Y28*'07c_ATC_Ajustado'!$L$27,0)</f>
        <v>0</v>
      </c>
      <c r="Z28" s="427">
        <f>IFERROR('07a_ATC'!Z28*'07c_ATC_Ajustado'!$L$27,0)</f>
        <v>0</v>
      </c>
      <c r="AA28" s="427">
        <f>IFERROR('07a_ATC'!AA28*'07c_ATC_Ajustado'!$L$27,0)</f>
        <v>0</v>
      </c>
      <c r="AB28" s="427">
        <f>IFERROR('07a_ATC'!AB28*'07c_ATC_Ajustado'!$L$27,0)</f>
        <v>0</v>
      </c>
      <c r="AC28" s="427">
        <f>IFERROR('07a_ATC'!AC28*'07c_ATC_Ajustado'!$L$27,0)</f>
        <v>0</v>
      </c>
      <c r="AD28" s="427">
        <f>IFERROR('07a_ATC'!AD28*'07c_ATC_Ajustado'!$L$27,0)</f>
        <v>0</v>
      </c>
      <c r="AE28" s="427">
        <f>IFERROR('07a_ATC'!AE28*'07c_ATC_Ajustado'!$L$27,0)</f>
        <v>0</v>
      </c>
      <c r="AF28" s="427">
        <f>IFERROR('07a_ATC'!AF28*'07c_ATC_Ajustado'!$L$27,0)</f>
        <v>0</v>
      </c>
      <c r="AG28" s="427">
        <f>IFERROR('07a_ATC'!AG28*'07c_ATC_Ajustado'!$L$27,0)</f>
        <v>0</v>
      </c>
      <c r="AH28" s="427">
        <f>IFERROR('07a_ATC'!AH28*'07c_ATC_Ajustado'!$L$27,0)</f>
        <v>0</v>
      </c>
      <c r="AI28" s="427">
        <f>IFERROR('07a_ATC'!AI28*'07c_ATC_Ajustado'!$L$27,0)</f>
        <v>0</v>
      </c>
      <c r="AJ28" s="427">
        <f>IFERROR('07a_ATC'!AJ28*'07c_ATC_Ajustado'!$L$27,0)</f>
        <v>0</v>
      </c>
      <c r="AK28" s="427">
        <f>IFERROR('07a_ATC'!AK28*'07c_ATC_Ajustado'!$L$27,0)</f>
        <v>0</v>
      </c>
      <c r="AL28" s="427">
        <f>IFERROR('07a_ATC'!AL28*'07c_ATC_Ajustado'!$L$27,0)</f>
        <v>0</v>
      </c>
      <c r="AM28" s="427">
        <f>IFERROR('07a_ATC'!AM28*'07c_ATC_Ajustado'!$L$27,0)</f>
        <v>0</v>
      </c>
      <c r="AN28" s="427">
        <f>IFERROR('07a_ATC'!AN28*'07c_ATC_Ajustado'!$L$27,0)</f>
        <v>0</v>
      </c>
      <c r="AO28" s="427">
        <f>IFERROR('07a_ATC'!AO28*'07c_ATC_Ajustado'!$L$27,0)</f>
        <v>0</v>
      </c>
      <c r="AP28" s="427">
        <f>IFERROR('07a_ATC'!AP28*'07c_ATC_Ajustado'!$L$27,0)</f>
        <v>0</v>
      </c>
      <c r="AQ28" s="427">
        <f>IFERROR('07a_ATC'!AQ28*'07c_ATC_Ajustado'!$L$27,0)</f>
        <v>0</v>
      </c>
      <c r="AR28" s="427">
        <f>IFERROR('07a_ATC'!AR28*'07c_ATC_Ajustado'!$L$27,0)</f>
        <v>0</v>
      </c>
      <c r="AS28" s="427">
        <f>IFERROR('07a_ATC'!AS28*'07c_ATC_Ajustado'!$L$27,0)</f>
        <v>0</v>
      </c>
      <c r="AT28" s="427">
        <f>IFERROR('07a_ATC'!AT28*'07c_ATC_Ajustado'!$L$27,0)</f>
        <v>0</v>
      </c>
      <c r="AU28" s="427">
        <f>IFERROR('07a_ATC'!AU28*'07c_ATC_Ajustado'!$L$27,0)</f>
        <v>0</v>
      </c>
      <c r="AV28" s="427">
        <f>IFERROR('07a_ATC'!AV28*'07c_ATC_Ajustado'!$L$27,0)</f>
        <v>0</v>
      </c>
      <c r="AW28" s="427">
        <f>IFERROR('07a_ATC'!AW28*'07c_ATC_Ajustado'!$L$27,0)</f>
        <v>0</v>
      </c>
      <c r="AX28" s="427">
        <f>IFERROR('07a_ATC'!AX28*'07c_ATC_Ajustado'!$L$27,0)</f>
        <v>0</v>
      </c>
      <c r="AY28" s="427">
        <f>IFERROR('07a_ATC'!AY28*'07c_ATC_Ajustado'!$L$27,0)</f>
        <v>0</v>
      </c>
      <c r="AZ28" s="427">
        <f>IFERROR('07a_ATC'!AZ28*'07c_ATC_Ajustado'!$L$27,0)</f>
        <v>0</v>
      </c>
      <c r="BA28" s="427">
        <f>IFERROR('07a_ATC'!BA28*'07c_ATC_Ajustado'!$L$27,0)</f>
        <v>0</v>
      </c>
      <c r="BB28" s="427">
        <f>IFERROR('07a_ATC'!BB28*'07c_ATC_Ajustado'!$L$27,0)</f>
        <v>0</v>
      </c>
      <c r="BC28" s="427">
        <f>IFERROR('07a_ATC'!BC28*'07c_ATC_Ajustado'!$L$27,0)</f>
        <v>0</v>
      </c>
      <c r="BD28" s="427">
        <f>IFERROR('07a_ATC'!BD28*'07c_ATC_Ajustado'!$L$27,0)</f>
        <v>0</v>
      </c>
      <c r="BE28" s="427">
        <f>IFERROR('07a_ATC'!BE28*'07c_ATC_Ajustado'!$L$27,0)</f>
        <v>0</v>
      </c>
      <c r="BF28" s="427">
        <f>IFERROR('07a_ATC'!BF28*'07c_ATC_Ajustado'!$L$27,0)</f>
        <v>0</v>
      </c>
    </row>
    <row r="29" spans="1:58">
      <c r="A29" s="450"/>
      <c r="B29" s="424"/>
      <c r="C29" s="424"/>
      <c r="D29" s="424"/>
      <c r="E29" s="424"/>
      <c r="F29" s="424"/>
      <c r="G29" s="424"/>
      <c r="H29" s="462"/>
      <c r="I29" s="424"/>
      <c r="J29" s="424"/>
      <c r="K29" s="459"/>
      <c r="L29" s="464" t="str">
        <f>'00_Datos_Mercado'!$B$4</f>
        <v>b_CS - General (Comercio + Oficinas + Hospedaje)</v>
      </c>
      <c r="M29" s="429">
        <f t="shared" si="12"/>
        <v>19262.215170664931</v>
      </c>
      <c r="N29" s="427">
        <f>IFERROR('07a_ATC'!N29*'07c_ATC_Ajustado'!$L$27,0)</f>
        <v>3596.5049186761271</v>
      </c>
      <c r="O29" s="427">
        <f>IFERROR('07a_ATC'!O29*'07c_ATC_Ajustado'!$L$27,0)</f>
        <v>3869.1033056451743</v>
      </c>
      <c r="P29" s="427">
        <f>IFERROR('07a_ATC'!P29*'07c_ATC_Ajustado'!$L$27,0)</f>
        <v>5898.3034731718144</v>
      </c>
      <c r="Q29" s="427">
        <f>IFERROR('07a_ATC'!Q29*'07c_ATC_Ajustado'!$L$27,0)</f>
        <v>5898.3034731718144</v>
      </c>
      <c r="R29" s="427">
        <f>IFERROR('07a_ATC'!R29*'07c_ATC_Ajustado'!$L$27,0)</f>
        <v>0</v>
      </c>
      <c r="S29" s="427">
        <f>IFERROR('07a_ATC'!S29*'07c_ATC_Ajustado'!$L$27,0)</f>
        <v>0</v>
      </c>
      <c r="T29" s="427">
        <f>IFERROR('07a_ATC'!T29*'07c_ATC_Ajustado'!$L$27,0)</f>
        <v>0</v>
      </c>
      <c r="U29" s="427">
        <f>IFERROR('07a_ATC'!U29*'07c_ATC_Ajustado'!$L$27,0)</f>
        <v>0</v>
      </c>
      <c r="V29" s="427">
        <f>IFERROR('07a_ATC'!V29*'07c_ATC_Ajustado'!$L$27,0)</f>
        <v>0</v>
      </c>
      <c r="W29" s="427">
        <f>IFERROR('07a_ATC'!W29*'07c_ATC_Ajustado'!$L$27,0)</f>
        <v>0</v>
      </c>
      <c r="X29" s="427">
        <f>IFERROR('07a_ATC'!X29*'07c_ATC_Ajustado'!$L$27,0)</f>
        <v>0</v>
      </c>
      <c r="Y29" s="427">
        <f>IFERROR('07a_ATC'!Y29*'07c_ATC_Ajustado'!$L$27,0)</f>
        <v>0</v>
      </c>
      <c r="Z29" s="427">
        <f>IFERROR('07a_ATC'!Z29*'07c_ATC_Ajustado'!$L$27,0)</f>
        <v>0</v>
      </c>
      <c r="AA29" s="427">
        <f>IFERROR('07a_ATC'!AA29*'07c_ATC_Ajustado'!$L$27,0)</f>
        <v>0</v>
      </c>
      <c r="AB29" s="427">
        <f>IFERROR('07a_ATC'!AB29*'07c_ATC_Ajustado'!$L$27,0)</f>
        <v>0</v>
      </c>
      <c r="AC29" s="427">
        <f>IFERROR('07a_ATC'!AC29*'07c_ATC_Ajustado'!$L$27,0)</f>
        <v>0</v>
      </c>
      <c r="AD29" s="427">
        <f>IFERROR('07a_ATC'!AD29*'07c_ATC_Ajustado'!$L$27,0)</f>
        <v>0</v>
      </c>
      <c r="AE29" s="427">
        <f>IFERROR('07a_ATC'!AE29*'07c_ATC_Ajustado'!$L$27,0)</f>
        <v>0</v>
      </c>
      <c r="AF29" s="427">
        <f>IFERROR('07a_ATC'!AF29*'07c_ATC_Ajustado'!$L$27,0)</f>
        <v>0</v>
      </c>
      <c r="AG29" s="427">
        <f>IFERROR('07a_ATC'!AG29*'07c_ATC_Ajustado'!$L$27,0)</f>
        <v>0</v>
      </c>
      <c r="AH29" s="427">
        <f>IFERROR('07a_ATC'!AH29*'07c_ATC_Ajustado'!$L$27,0)</f>
        <v>0</v>
      </c>
      <c r="AI29" s="427">
        <f>IFERROR('07a_ATC'!AI29*'07c_ATC_Ajustado'!$L$27,0)</f>
        <v>0</v>
      </c>
      <c r="AJ29" s="427">
        <f>IFERROR('07a_ATC'!AJ29*'07c_ATC_Ajustado'!$L$27,0)</f>
        <v>0</v>
      </c>
      <c r="AK29" s="427">
        <f>IFERROR('07a_ATC'!AK29*'07c_ATC_Ajustado'!$L$27,0)</f>
        <v>0</v>
      </c>
      <c r="AL29" s="427">
        <f>IFERROR('07a_ATC'!AL29*'07c_ATC_Ajustado'!$L$27,0)</f>
        <v>0</v>
      </c>
      <c r="AM29" s="427">
        <f>IFERROR('07a_ATC'!AM29*'07c_ATC_Ajustado'!$L$27,0)</f>
        <v>0</v>
      </c>
      <c r="AN29" s="427">
        <f>IFERROR('07a_ATC'!AN29*'07c_ATC_Ajustado'!$L$27,0)</f>
        <v>0</v>
      </c>
      <c r="AO29" s="427">
        <f>IFERROR('07a_ATC'!AO29*'07c_ATC_Ajustado'!$L$27,0)</f>
        <v>0</v>
      </c>
      <c r="AP29" s="427">
        <f>IFERROR('07a_ATC'!AP29*'07c_ATC_Ajustado'!$L$27,0)</f>
        <v>0</v>
      </c>
      <c r="AQ29" s="427">
        <f>IFERROR('07a_ATC'!AQ29*'07c_ATC_Ajustado'!$L$27,0)</f>
        <v>0</v>
      </c>
      <c r="AR29" s="427">
        <f>IFERROR('07a_ATC'!AR29*'07c_ATC_Ajustado'!$L$27,0)</f>
        <v>0</v>
      </c>
      <c r="AS29" s="427">
        <f>IFERROR('07a_ATC'!AS29*'07c_ATC_Ajustado'!$L$27,0)</f>
        <v>0</v>
      </c>
      <c r="AT29" s="427">
        <f>IFERROR('07a_ATC'!AT29*'07c_ATC_Ajustado'!$L$27,0)</f>
        <v>0</v>
      </c>
      <c r="AU29" s="427">
        <f>IFERROR('07a_ATC'!AU29*'07c_ATC_Ajustado'!$L$27,0)</f>
        <v>0</v>
      </c>
      <c r="AV29" s="427">
        <f>IFERROR('07a_ATC'!AV29*'07c_ATC_Ajustado'!$L$27,0)</f>
        <v>0</v>
      </c>
      <c r="AW29" s="427">
        <f>IFERROR('07a_ATC'!AW29*'07c_ATC_Ajustado'!$L$27,0)</f>
        <v>0</v>
      </c>
      <c r="AX29" s="427">
        <f>IFERROR('07a_ATC'!AX29*'07c_ATC_Ajustado'!$L$27,0)</f>
        <v>0</v>
      </c>
      <c r="AY29" s="427">
        <f>IFERROR('07a_ATC'!AY29*'07c_ATC_Ajustado'!$L$27,0)</f>
        <v>0</v>
      </c>
      <c r="AZ29" s="427">
        <f>IFERROR('07a_ATC'!AZ29*'07c_ATC_Ajustado'!$L$27,0)</f>
        <v>0</v>
      </c>
      <c r="BA29" s="427">
        <f>IFERROR('07a_ATC'!BA29*'07c_ATC_Ajustado'!$L$27,0)</f>
        <v>0</v>
      </c>
      <c r="BB29" s="427">
        <f>IFERROR('07a_ATC'!BB29*'07c_ATC_Ajustado'!$L$27,0)</f>
        <v>0</v>
      </c>
      <c r="BC29" s="427">
        <f>IFERROR('07a_ATC'!BC29*'07c_ATC_Ajustado'!$L$27,0)</f>
        <v>0</v>
      </c>
      <c r="BD29" s="427">
        <f>IFERROR('07a_ATC'!BD29*'07c_ATC_Ajustado'!$L$27,0)</f>
        <v>0</v>
      </c>
      <c r="BE29" s="427">
        <f>IFERROR('07a_ATC'!BE29*'07c_ATC_Ajustado'!$L$27,0)</f>
        <v>0</v>
      </c>
      <c r="BF29" s="427">
        <f>IFERROR('07a_ATC'!BF29*'07c_ATC_Ajustado'!$L$27,0)</f>
        <v>0</v>
      </c>
    </row>
    <row r="30" spans="1:58">
      <c r="A30" s="450"/>
      <c r="B30" s="424"/>
      <c r="C30" s="424"/>
      <c r="D30" s="424"/>
      <c r="E30" s="424"/>
      <c r="F30" s="424"/>
      <c r="G30" s="424"/>
      <c r="H30" s="462"/>
      <c r="I30" s="424"/>
      <c r="J30" s="424"/>
      <c r="K30" s="459"/>
      <c r="L30" s="465" t="str">
        <f>'00_Datos_Mercado'!$B$5</f>
        <v>c_CS - Grandes Superficies</v>
      </c>
      <c r="M30" s="429">
        <f t="shared" si="12"/>
        <v>0</v>
      </c>
      <c r="N30" s="427">
        <f>IFERROR('07a_ATC'!N30*'07c_ATC_Ajustado'!$L$27,0)</f>
        <v>0</v>
      </c>
      <c r="O30" s="427">
        <f>IFERROR('07a_ATC'!O30*'07c_ATC_Ajustado'!$L$27,0)</f>
        <v>0</v>
      </c>
      <c r="P30" s="427">
        <f>IFERROR('07a_ATC'!P30*'07c_ATC_Ajustado'!$L$27,0)</f>
        <v>0</v>
      </c>
      <c r="Q30" s="427">
        <f>IFERROR('07a_ATC'!Q30*'07c_ATC_Ajustado'!$L$27,0)</f>
        <v>0</v>
      </c>
      <c r="R30" s="427">
        <f>IFERROR('07a_ATC'!R30*'07c_ATC_Ajustado'!$L$27,0)</f>
        <v>0</v>
      </c>
      <c r="S30" s="427">
        <f>IFERROR('07a_ATC'!S30*'07c_ATC_Ajustado'!$L$27,0)</f>
        <v>0</v>
      </c>
      <c r="T30" s="427">
        <f>IFERROR('07a_ATC'!T30*'07c_ATC_Ajustado'!$L$27,0)</f>
        <v>0</v>
      </c>
      <c r="U30" s="427">
        <f>IFERROR('07a_ATC'!U30*'07c_ATC_Ajustado'!$L$27,0)</f>
        <v>0</v>
      </c>
      <c r="V30" s="427">
        <f>IFERROR('07a_ATC'!V30*'07c_ATC_Ajustado'!$L$27,0)</f>
        <v>0</v>
      </c>
      <c r="W30" s="427">
        <f>IFERROR('07a_ATC'!W30*'07c_ATC_Ajustado'!$L$27,0)</f>
        <v>0</v>
      </c>
      <c r="X30" s="427">
        <f>IFERROR('07a_ATC'!X30*'07c_ATC_Ajustado'!$L$27,0)</f>
        <v>0</v>
      </c>
      <c r="Y30" s="427">
        <f>IFERROR('07a_ATC'!Y30*'07c_ATC_Ajustado'!$L$27,0)</f>
        <v>0</v>
      </c>
      <c r="Z30" s="427">
        <f>IFERROR('07a_ATC'!Z30*'07c_ATC_Ajustado'!$L$27,0)</f>
        <v>0</v>
      </c>
      <c r="AA30" s="427">
        <f>IFERROR('07a_ATC'!AA30*'07c_ATC_Ajustado'!$L$27,0)</f>
        <v>0</v>
      </c>
      <c r="AB30" s="427">
        <f>IFERROR('07a_ATC'!AB30*'07c_ATC_Ajustado'!$L$27,0)</f>
        <v>0</v>
      </c>
      <c r="AC30" s="427">
        <f>IFERROR('07a_ATC'!AC30*'07c_ATC_Ajustado'!$L$27,0)</f>
        <v>0</v>
      </c>
      <c r="AD30" s="427">
        <f>IFERROR('07a_ATC'!AD30*'07c_ATC_Ajustado'!$L$27,0)</f>
        <v>0</v>
      </c>
      <c r="AE30" s="427">
        <f>IFERROR('07a_ATC'!AE30*'07c_ATC_Ajustado'!$L$27,0)</f>
        <v>0</v>
      </c>
      <c r="AF30" s="427">
        <f>IFERROR('07a_ATC'!AF30*'07c_ATC_Ajustado'!$L$27,0)</f>
        <v>0</v>
      </c>
      <c r="AG30" s="427">
        <f>IFERROR('07a_ATC'!AG30*'07c_ATC_Ajustado'!$L$27,0)</f>
        <v>0</v>
      </c>
      <c r="AH30" s="427">
        <f>IFERROR('07a_ATC'!AH30*'07c_ATC_Ajustado'!$L$27,0)</f>
        <v>0</v>
      </c>
      <c r="AI30" s="427">
        <f>IFERROR('07a_ATC'!AI30*'07c_ATC_Ajustado'!$L$27,0)</f>
        <v>0</v>
      </c>
      <c r="AJ30" s="427">
        <f>IFERROR('07a_ATC'!AJ30*'07c_ATC_Ajustado'!$L$27,0)</f>
        <v>0</v>
      </c>
      <c r="AK30" s="427">
        <f>IFERROR('07a_ATC'!AK30*'07c_ATC_Ajustado'!$L$27,0)</f>
        <v>0</v>
      </c>
      <c r="AL30" s="427">
        <f>IFERROR('07a_ATC'!AL30*'07c_ATC_Ajustado'!$L$27,0)</f>
        <v>0</v>
      </c>
      <c r="AM30" s="427">
        <f>IFERROR('07a_ATC'!AM30*'07c_ATC_Ajustado'!$L$27,0)</f>
        <v>0</v>
      </c>
      <c r="AN30" s="427">
        <f>IFERROR('07a_ATC'!AN30*'07c_ATC_Ajustado'!$L$27,0)</f>
        <v>0</v>
      </c>
      <c r="AO30" s="427">
        <f>IFERROR('07a_ATC'!AO30*'07c_ATC_Ajustado'!$L$27,0)</f>
        <v>0</v>
      </c>
      <c r="AP30" s="427">
        <f>IFERROR('07a_ATC'!AP30*'07c_ATC_Ajustado'!$L$27,0)</f>
        <v>0</v>
      </c>
      <c r="AQ30" s="427">
        <f>IFERROR('07a_ATC'!AQ30*'07c_ATC_Ajustado'!$L$27,0)</f>
        <v>0</v>
      </c>
      <c r="AR30" s="427">
        <f>IFERROR('07a_ATC'!AR30*'07c_ATC_Ajustado'!$L$27,0)</f>
        <v>0</v>
      </c>
      <c r="AS30" s="427">
        <f>IFERROR('07a_ATC'!AS30*'07c_ATC_Ajustado'!$L$27,0)</f>
        <v>0</v>
      </c>
      <c r="AT30" s="427">
        <f>IFERROR('07a_ATC'!AT30*'07c_ATC_Ajustado'!$L$27,0)</f>
        <v>0</v>
      </c>
      <c r="AU30" s="427">
        <f>IFERROR('07a_ATC'!AU30*'07c_ATC_Ajustado'!$L$27,0)</f>
        <v>0</v>
      </c>
      <c r="AV30" s="427">
        <f>IFERROR('07a_ATC'!AV30*'07c_ATC_Ajustado'!$L$27,0)</f>
        <v>0</v>
      </c>
      <c r="AW30" s="427">
        <f>IFERROR('07a_ATC'!AW30*'07c_ATC_Ajustado'!$L$27,0)</f>
        <v>0</v>
      </c>
      <c r="AX30" s="427">
        <f>IFERROR('07a_ATC'!AX30*'07c_ATC_Ajustado'!$L$27,0)</f>
        <v>0</v>
      </c>
      <c r="AY30" s="427">
        <f>IFERROR('07a_ATC'!AY30*'07c_ATC_Ajustado'!$L$27,0)</f>
        <v>0</v>
      </c>
      <c r="AZ30" s="427">
        <f>IFERROR('07a_ATC'!AZ30*'07c_ATC_Ajustado'!$L$27,0)</f>
        <v>0</v>
      </c>
      <c r="BA30" s="427">
        <f>IFERROR('07a_ATC'!BA30*'07c_ATC_Ajustado'!$L$27,0)</f>
        <v>0</v>
      </c>
      <c r="BB30" s="427">
        <f>IFERROR('07a_ATC'!BB30*'07c_ATC_Ajustado'!$L$27,0)</f>
        <v>0</v>
      </c>
      <c r="BC30" s="427">
        <f>IFERROR('07a_ATC'!BC30*'07c_ATC_Ajustado'!$L$27,0)</f>
        <v>0</v>
      </c>
      <c r="BD30" s="427">
        <f>IFERROR('07a_ATC'!BD30*'07c_ATC_Ajustado'!$L$27,0)</f>
        <v>0</v>
      </c>
      <c r="BE30" s="427">
        <f>IFERROR('07a_ATC'!BE30*'07c_ATC_Ajustado'!$L$27,0)</f>
        <v>0</v>
      </c>
      <c r="BF30" s="427">
        <f>IFERROR('07a_ATC'!BF30*'07c_ATC_Ajustado'!$L$27,0)</f>
        <v>0</v>
      </c>
    </row>
    <row r="31" spans="1:58">
      <c r="A31" s="450"/>
      <c r="B31" s="424"/>
      <c r="C31" s="424"/>
      <c r="D31" s="424"/>
      <c r="E31" s="424"/>
      <c r="F31" s="424"/>
      <c r="G31" s="424"/>
      <c r="H31" s="462"/>
      <c r="I31" s="424"/>
      <c r="J31" s="424"/>
      <c r="K31" s="459"/>
      <c r="L31" s="466" t="str">
        <f>'00_Datos_Mercado'!$B$6</f>
        <v>d_CS - Torre Empresarial (Oficinas + Hospedaje)</v>
      </c>
      <c r="M31" s="429">
        <f t="shared" si="12"/>
        <v>0</v>
      </c>
      <c r="N31" s="427">
        <f>IFERROR('07a_ATC'!N31*'07c_ATC_Ajustado'!$L$27,0)</f>
        <v>0</v>
      </c>
      <c r="O31" s="427">
        <f>IFERROR('07a_ATC'!O31*'07c_ATC_Ajustado'!$L$27,0)</f>
        <v>0</v>
      </c>
      <c r="P31" s="427">
        <f>IFERROR('07a_ATC'!P31*'07c_ATC_Ajustado'!$L$27,0)</f>
        <v>0</v>
      </c>
      <c r="Q31" s="427">
        <f>IFERROR('07a_ATC'!Q31*'07c_ATC_Ajustado'!$L$27,0)</f>
        <v>0</v>
      </c>
      <c r="R31" s="427">
        <f>IFERROR('07a_ATC'!R31*'07c_ATC_Ajustado'!$L$27,0)</f>
        <v>0</v>
      </c>
      <c r="S31" s="427">
        <f>IFERROR('07a_ATC'!S31*'07c_ATC_Ajustado'!$L$27,0)</f>
        <v>0</v>
      </c>
      <c r="T31" s="427">
        <f>IFERROR('07a_ATC'!T31*'07c_ATC_Ajustado'!$L$27,0)</f>
        <v>0</v>
      </c>
      <c r="U31" s="427">
        <f>IFERROR('07a_ATC'!U31*'07c_ATC_Ajustado'!$L$27,0)</f>
        <v>0</v>
      </c>
      <c r="V31" s="427">
        <f>IFERROR('07a_ATC'!V31*'07c_ATC_Ajustado'!$L$27,0)</f>
        <v>0</v>
      </c>
      <c r="W31" s="427">
        <f>IFERROR('07a_ATC'!W31*'07c_ATC_Ajustado'!$L$27,0)</f>
        <v>0</v>
      </c>
      <c r="X31" s="427">
        <f>IFERROR('07a_ATC'!X31*'07c_ATC_Ajustado'!$L$27,0)</f>
        <v>0</v>
      </c>
      <c r="Y31" s="427">
        <f>IFERROR('07a_ATC'!Y31*'07c_ATC_Ajustado'!$L$27,0)</f>
        <v>0</v>
      </c>
      <c r="Z31" s="427">
        <f>IFERROR('07a_ATC'!Z31*'07c_ATC_Ajustado'!$L$27,0)</f>
        <v>0</v>
      </c>
      <c r="AA31" s="427">
        <f>IFERROR('07a_ATC'!AA31*'07c_ATC_Ajustado'!$L$27,0)</f>
        <v>0</v>
      </c>
      <c r="AB31" s="427">
        <f>IFERROR('07a_ATC'!AB31*'07c_ATC_Ajustado'!$L$27,0)</f>
        <v>0</v>
      </c>
      <c r="AC31" s="427">
        <f>IFERROR('07a_ATC'!AC31*'07c_ATC_Ajustado'!$L$27,0)</f>
        <v>0</v>
      </c>
      <c r="AD31" s="427">
        <f>IFERROR('07a_ATC'!AD31*'07c_ATC_Ajustado'!$L$27,0)</f>
        <v>0</v>
      </c>
      <c r="AE31" s="427">
        <f>IFERROR('07a_ATC'!AE31*'07c_ATC_Ajustado'!$L$27,0)</f>
        <v>0</v>
      </c>
      <c r="AF31" s="427">
        <f>IFERROR('07a_ATC'!AF31*'07c_ATC_Ajustado'!$L$27,0)</f>
        <v>0</v>
      </c>
      <c r="AG31" s="427">
        <f>IFERROR('07a_ATC'!AG31*'07c_ATC_Ajustado'!$L$27,0)</f>
        <v>0</v>
      </c>
      <c r="AH31" s="427">
        <f>IFERROR('07a_ATC'!AH31*'07c_ATC_Ajustado'!$L$27,0)</f>
        <v>0</v>
      </c>
      <c r="AI31" s="427">
        <f>IFERROR('07a_ATC'!AI31*'07c_ATC_Ajustado'!$L$27,0)</f>
        <v>0</v>
      </c>
      <c r="AJ31" s="427">
        <f>IFERROR('07a_ATC'!AJ31*'07c_ATC_Ajustado'!$L$27,0)</f>
        <v>0</v>
      </c>
      <c r="AK31" s="427">
        <f>IFERROR('07a_ATC'!AK31*'07c_ATC_Ajustado'!$L$27,0)</f>
        <v>0</v>
      </c>
      <c r="AL31" s="427">
        <f>IFERROR('07a_ATC'!AL31*'07c_ATC_Ajustado'!$L$27,0)</f>
        <v>0</v>
      </c>
      <c r="AM31" s="427">
        <f>IFERROR('07a_ATC'!AM31*'07c_ATC_Ajustado'!$L$27,0)</f>
        <v>0</v>
      </c>
      <c r="AN31" s="427">
        <f>IFERROR('07a_ATC'!AN31*'07c_ATC_Ajustado'!$L$27,0)</f>
        <v>0</v>
      </c>
      <c r="AO31" s="427">
        <f>IFERROR('07a_ATC'!AO31*'07c_ATC_Ajustado'!$L$27,0)</f>
        <v>0</v>
      </c>
      <c r="AP31" s="427">
        <f>IFERROR('07a_ATC'!AP31*'07c_ATC_Ajustado'!$L$27,0)</f>
        <v>0</v>
      </c>
      <c r="AQ31" s="427">
        <f>IFERROR('07a_ATC'!AQ31*'07c_ATC_Ajustado'!$L$27,0)</f>
        <v>0</v>
      </c>
      <c r="AR31" s="427">
        <f>IFERROR('07a_ATC'!AR31*'07c_ATC_Ajustado'!$L$27,0)</f>
        <v>0</v>
      </c>
      <c r="AS31" s="427">
        <f>IFERROR('07a_ATC'!AS31*'07c_ATC_Ajustado'!$L$27,0)</f>
        <v>0</v>
      </c>
      <c r="AT31" s="427">
        <f>IFERROR('07a_ATC'!AT31*'07c_ATC_Ajustado'!$L$27,0)</f>
        <v>0</v>
      </c>
      <c r="AU31" s="427">
        <f>IFERROR('07a_ATC'!AU31*'07c_ATC_Ajustado'!$L$27,0)</f>
        <v>0</v>
      </c>
      <c r="AV31" s="427">
        <f>IFERROR('07a_ATC'!AV31*'07c_ATC_Ajustado'!$L$27,0)</f>
        <v>0</v>
      </c>
      <c r="AW31" s="427">
        <f>IFERROR('07a_ATC'!AW31*'07c_ATC_Ajustado'!$L$27,0)</f>
        <v>0</v>
      </c>
      <c r="AX31" s="427">
        <f>IFERROR('07a_ATC'!AX31*'07c_ATC_Ajustado'!$L$27,0)</f>
        <v>0</v>
      </c>
      <c r="AY31" s="427">
        <f>IFERROR('07a_ATC'!AY31*'07c_ATC_Ajustado'!$L$27,0)</f>
        <v>0</v>
      </c>
      <c r="AZ31" s="427">
        <f>IFERROR('07a_ATC'!AZ31*'07c_ATC_Ajustado'!$L$27,0)</f>
        <v>0</v>
      </c>
      <c r="BA31" s="427">
        <f>IFERROR('07a_ATC'!BA31*'07c_ATC_Ajustado'!$L$27,0)</f>
        <v>0</v>
      </c>
      <c r="BB31" s="427">
        <f>IFERROR('07a_ATC'!BB31*'07c_ATC_Ajustado'!$L$27,0)</f>
        <v>0</v>
      </c>
      <c r="BC31" s="427">
        <f>IFERROR('07a_ATC'!BC31*'07c_ATC_Ajustado'!$L$27,0)</f>
        <v>0</v>
      </c>
      <c r="BD31" s="427">
        <f>IFERROR('07a_ATC'!BD31*'07c_ATC_Ajustado'!$L$27,0)</f>
        <v>0</v>
      </c>
      <c r="BE31" s="427">
        <f>IFERROR('07a_ATC'!BE31*'07c_ATC_Ajustado'!$L$27,0)</f>
        <v>0</v>
      </c>
      <c r="BF31" s="427">
        <f>IFERROR('07a_ATC'!BF31*'07c_ATC_Ajustado'!$L$27,0)</f>
        <v>0</v>
      </c>
    </row>
    <row r="32" spans="1:58">
      <c r="A32" s="450"/>
      <c r="B32" s="424"/>
      <c r="C32" s="424"/>
      <c r="D32" s="424"/>
      <c r="E32" s="424"/>
      <c r="F32" s="424"/>
      <c r="G32" s="424"/>
      <c r="H32" s="462"/>
      <c r="I32" s="424"/>
      <c r="J32" s="424"/>
      <c r="K32" s="459"/>
      <c r="L32" s="467" t="str">
        <f>'00_Datos_Mercado'!$B$7</f>
        <v>e_CS - Innovation (H, CS, Gamers)</v>
      </c>
      <c r="M32" s="429">
        <f t="shared" si="12"/>
        <v>0</v>
      </c>
      <c r="N32" s="427">
        <f>IFERROR('07a_ATC'!N32*'07c_ATC_Ajustado'!$L$27,0)</f>
        <v>0</v>
      </c>
      <c r="O32" s="427">
        <f>IFERROR('07a_ATC'!O32*'07c_ATC_Ajustado'!$L$27,0)</f>
        <v>0</v>
      </c>
      <c r="P32" s="427">
        <f>IFERROR('07a_ATC'!P32*'07c_ATC_Ajustado'!$L$27,0)</f>
        <v>0</v>
      </c>
      <c r="Q32" s="427">
        <f>IFERROR('07a_ATC'!Q32*'07c_ATC_Ajustado'!$L$27,0)</f>
        <v>0</v>
      </c>
      <c r="R32" s="427">
        <f>IFERROR('07a_ATC'!R32*'07c_ATC_Ajustado'!$L$27,0)</f>
        <v>0</v>
      </c>
      <c r="S32" s="427">
        <f>IFERROR('07a_ATC'!S32*'07c_ATC_Ajustado'!$L$27,0)</f>
        <v>0</v>
      </c>
      <c r="T32" s="427">
        <f>IFERROR('07a_ATC'!T32*'07c_ATC_Ajustado'!$L$27,0)</f>
        <v>0</v>
      </c>
      <c r="U32" s="427">
        <f>IFERROR('07a_ATC'!U32*'07c_ATC_Ajustado'!$L$27,0)</f>
        <v>0</v>
      </c>
      <c r="V32" s="427">
        <f>IFERROR('07a_ATC'!V32*'07c_ATC_Ajustado'!$L$27,0)</f>
        <v>0</v>
      </c>
      <c r="W32" s="427">
        <f>IFERROR('07a_ATC'!W32*'07c_ATC_Ajustado'!$L$27,0)</f>
        <v>0</v>
      </c>
      <c r="X32" s="427">
        <f>IFERROR('07a_ATC'!X32*'07c_ATC_Ajustado'!$L$27,0)</f>
        <v>0</v>
      </c>
      <c r="Y32" s="427">
        <f>IFERROR('07a_ATC'!Y32*'07c_ATC_Ajustado'!$L$27,0)</f>
        <v>0</v>
      </c>
      <c r="Z32" s="427">
        <f>IFERROR('07a_ATC'!Z32*'07c_ATC_Ajustado'!$L$27,0)</f>
        <v>0</v>
      </c>
      <c r="AA32" s="427">
        <f>IFERROR('07a_ATC'!AA32*'07c_ATC_Ajustado'!$L$27,0)</f>
        <v>0</v>
      </c>
      <c r="AB32" s="427">
        <f>IFERROR('07a_ATC'!AB32*'07c_ATC_Ajustado'!$L$27,0)</f>
        <v>0</v>
      </c>
      <c r="AC32" s="427">
        <f>IFERROR('07a_ATC'!AC32*'07c_ATC_Ajustado'!$L$27,0)</f>
        <v>0</v>
      </c>
      <c r="AD32" s="427">
        <f>IFERROR('07a_ATC'!AD32*'07c_ATC_Ajustado'!$L$27,0)</f>
        <v>0</v>
      </c>
      <c r="AE32" s="427">
        <f>IFERROR('07a_ATC'!AE32*'07c_ATC_Ajustado'!$L$27,0)</f>
        <v>0</v>
      </c>
      <c r="AF32" s="427">
        <f>IFERROR('07a_ATC'!AF32*'07c_ATC_Ajustado'!$L$27,0)</f>
        <v>0</v>
      </c>
      <c r="AG32" s="427">
        <f>IFERROR('07a_ATC'!AG32*'07c_ATC_Ajustado'!$L$27,0)</f>
        <v>0</v>
      </c>
      <c r="AH32" s="427">
        <f>IFERROR('07a_ATC'!AH32*'07c_ATC_Ajustado'!$L$27,0)</f>
        <v>0</v>
      </c>
      <c r="AI32" s="427">
        <f>IFERROR('07a_ATC'!AI32*'07c_ATC_Ajustado'!$L$27,0)</f>
        <v>0</v>
      </c>
      <c r="AJ32" s="427">
        <f>IFERROR('07a_ATC'!AJ32*'07c_ATC_Ajustado'!$L$27,0)</f>
        <v>0</v>
      </c>
      <c r="AK32" s="427">
        <f>IFERROR('07a_ATC'!AK32*'07c_ATC_Ajustado'!$L$27,0)</f>
        <v>0</v>
      </c>
      <c r="AL32" s="427">
        <f>IFERROR('07a_ATC'!AL32*'07c_ATC_Ajustado'!$L$27,0)</f>
        <v>0</v>
      </c>
      <c r="AM32" s="427">
        <f>IFERROR('07a_ATC'!AM32*'07c_ATC_Ajustado'!$L$27,0)</f>
        <v>0</v>
      </c>
      <c r="AN32" s="427">
        <f>IFERROR('07a_ATC'!AN32*'07c_ATC_Ajustado'!$L$27,0)</f>
        <v>0</v>
      </c>
      <c r="AO32" s="427">
        <f>IFERROR('07a_ATC'!AO32*'07c_ATC_Ajustado'!$L$27,0)</f>
        <v>0</v>
      </c>
      <c r="AP32" s="427">
        <f>IFERROR('07a_ATC'!AP32*'07c_ATC_Ajustado'!$L$27,0)</f>
        <v>0</v>
      </c>
      <c r="AQ32" s="427">
        <f>IFERROR('07a_ATC'!AQ32*'07c_ATC_Ajustado'!$L$27,0)</f>
        <v>0</v>
      </c>
      <c r="AR32" s="427">
        <f>IFERROR('07a_ATC'!AR32*'07c_ATC_Ajustado'!$L$27,0)</f>
        <v>0</v>
      </c>
      <c r="AS32" s="427">
        <f>IFERROR('07a_ATC'!AS32*'07c_ATC_Ajustado'!$L$27,0)</f>
        <v>0</v>
      </c>
      <c r="AT32" s="427">
        <f>IFERROR('07a_ATC'!AT32*'07c_ATC_Ajustado'!$L$27,0)</f>
        <v>0</v>
      </c>
      <c r="AU32" s="427">
        <f>IFERROR('07a_ATC'!AU32*'07c_ATC_Ajustado'!$L$27,0)</f>
        <v>0</v>
      </c>
      <c r="AV32" s="427">
        <f>IFERROR('07a_ATC'!AV32*'07c_ATC_Ajustado'!$L$27,0)</f>
        <v>0</v>
      </c>
      <c r="AW32" s="427">
        <f>IFERROR('07a_ATC'!AW32*'07c_ATC_Ajustado'!$L$27,0)</f>
        <v>0</v>
      </c>
      <c r="AX32" s="427">
        <f>IFERROR('07a_ATC'!AX32*'07c_ATC_Ajustado'!$L$27,0)</f>
        <v>0</v>
      </c>
      <c r="AY32" s="427">
        <f>IFERROR('07a_ATC'!AY32*'07c_ATC_Ajustado'!$L$27,0)</f>
        <v>0</v>
      </c>
      <c r="AZ32" s="427">
        <f>IFERROR('07a_ATC'!AZ32*'07c_ATC_Ajustado'!$L$27,0)</f>
        <v>0</v>
      </c>
      <c r="BA32" s="427">
        <f>IFERROR('07a_ATC'!BA32*'07c_ATC_Ajustado'!$L$27,0)</f>
        <v>0</v>
      </c>
      <c r="BB32" s="427">
        <f>IFERROR('07a_ATC'!BB32*'07c_ATC_Ajustado'!$L$27,0)</f>
        <v>0</v>
      </c>
      <c r="BC32" s="427">
        <f>IFERROR('07a_ATC'!BC32*'07c_ATC_Ajustado'!$L$27,0)</f>
        <v>0</v>
      </c>
      <c r="BD32" s="427">
        <f>IFERROR('07a_ATC'!BD32*'07c_ATC_Ajustado'!$L$27,0)</f>
        <v>0</v>
      </c>
      <c r="BE32" s="427">
        <f>IFERROR('07a_ATC'!BE32*'07c_ATC_Ajustado'!$L$27,0)</f>
        <v>0</v>
      </c>
      <c r="BF32" s="427">
        <f>IFERROR('07a_ATC'!BF32*'07c_ATC_Ajustado'!$L$27,0)</f>
        <v>0</v>
      </c>
    </row>
    <row r="33" spans="1:58">
      <c r="A33" s="450"/>
      <c r="B33" s="424"/>
      <c r="C33" s="424"/>
      <c r="D33" s="424"/>
      <c r="E33" s="424"/>
      <c r="F33" s="424"/>
      <c r="G33" s="424"/>
      <c r="H33" s="462"/>
      <c r="I33" s="424"/>
      <c r="J33" s="424"/>
      <c r="K33" s="459"/>
      <c r="L33" s="468" t="str">
        <f>'00_Datos_Mercado'!$B$8</f>
        <v xml:space="preserve">f_RES - VIS Ru </v>
      </c>
      <c r="M33" s="429">
        <f t="shared" si="12"/>
        <v>21665.306298981359</v>
      </c>
      <c r="N33" s="427">
        <f>IFERROR('07a_ATC'!N33*'07c_ATC_Ajustado'!$L$27,0)</f>
        <v>0</v>
      </c>
      <c r="O33" s="427">
        <f>IFERROR('07a_ATC'!O33*'07c_ATC_Ajustado'!$L$27,0)</f>
        <v>0</v>
      </c>
      <c r="P33" s="427">
        <f>IFERROR('07a_ATC'!P33*'07c_ATC_Ajustado'!$L$27,0)</f>
        <v>0</v>
      </c>
      <c r="Q33" s="427">
        <f>IFERROR('07a_ATC'!Q33*'07c_ATC_Ajustado'!$L$27,0)</f>
        <v>0</v>
      </c>
      <c r="R33" s="427">
        <f>IFERROR('07a_ATC'!R33*'07c_ATC_Ajustado'!$L$27,0)</f>
        <v>0</v>
      </c>
      <c r="S33" s="427">
        <f>IFERROR('07a_ATC'!S33*'07c_ATC_Ajustado'!$L$27,0)</f>
        <v>5416.3265747453397</v>
      </c>
      <c r="T33" s="427">
        <f>IFERROR('07a_ATC'!T33*'07c_ATC_Ajustado'!$L$27,0)</f>
        <v>5416.3265747453397</v>
      </c>
      <c r="U33" s="427">
        <f>IFERROR('07a_ATC'!U33*'07c_ATC_Ajustado'!$L$27,0)</f>
        <v>5416.3265747453397</v>
      </c>
      <c r="V33" s="427">
        <f>IFERROR('07a_ATC'!V33*'07c_ATC_Ajustado'!$L$27,0)</f>
        <v>5416.3265747453397</v>
      </c>
      <c r="W33" s="427">
        <f>IFERROR('07a_ATC'!W33*'07c_ATC_Ajustado'!$L$27,0)</f>
        <v>0</v>
      </c>
      <c r="X33" s="427">
        <f>IFERROR('07a_ATC'!X33*'07c_ATC_Ajustado'!$L$27,0)</f>
        <v>0</v>
      </c>
      <c r="Y33" s="427">
        <f>IFERROR('07a_ATC'!Y33*'07c_ATC_Ajustado'!$L$27,0)</f>
        <v>0</v>
      </c>
      <c r="Z33" s="427">
        <f>IFERROR('07a_ATC'!Z33*'07c_ATC_Ajustado'!$L$27,0)</f>
        <v>0</v>
      </c>
      <c r="AA33" s="427">
        <f>IFERROR('07a_ATC'!AA33*'07c_ATC_Ajustado'!$L$27,0)</f>
        <v>0</v>
      </c>
      <c r="AB33" s="427">
        <f>IFERROR('07a_ATC'!AB33*'07c_ATC_Ajustado'!$L$27,0)</f>
        <v>0</v>
      </c>
      <c r="AC33" s="427">
        <f>IFERROR('07a_ATC'!AC33*'07c_ATC_Ajustado'!$L$27,0)</f>
        <v>0</v>
      </c>
      <c r="AD33" s="427">
        <f>IFERROR('07a_ATC'!AD33*'07c_ATC_Ajustado'!$L$27,0)</f>
        <v>0</v>
      </c>
      <c r="AE33" s="427">
        <f>IFERROR('07a_ATC'!AE33*'07c_ATC_Ajustado'!$L$27,0)</f>
        <v>0</v>
      </c>
      <c r="AF33" s="427">
        <f>IFERROR('07a_ATC'!AF33*'07c_ATC_Ajustado'!$L$27,0)</f>
        <v>0</v>
      </c>
      <c r="AG33" s="427">
        <f>IFERROR('07a_ATC'!AG33*'07c_ATC_Ajustado'!$L$27,0)</f>
        <v>0</v>
      </c>
      <c r="AH33" s="427">
        <f>IFERROR('07a_ATC'!AH33*'07c_ATC_Ajustado'!$L$27,0)</f>
        <v>0</v>
      </c>
      <c r="AI33" s="427">
        <f>IFERROR('07a_ATC'!AI33*'07c_ATC_Ajustado'!$L$27,0)</f>
        <v>0</v>
      </c>
      <c r="AJ33" s="427">
        <f>IFERROR('07a_ATC'!AJ33*'07c_ATC_Ajustado'!$L$27,0)</f>
        <v>0</v>
      </c>
      <c r="AK33" s="427">
        <f>IFERROR('07a_ATC'!AK33*'07c_ATC_Ajustado'!$L$27,0)</f>
        <v>0</v>
      </c>
      <c r="AL33" s="427">
        <f>IFERROR('07a_ATC'!AL33*'07c_ATC_Ajustado'!$L$27,0)</f>
        <v>0</v>
      </c>
      <c r="AM33" s="427">
        <f>IFERROR('07a_ATC'!AM33*'07c_ATC_Ajustado'!$L$27,0)</f>
        <v>0</v>
      </c>
      <c r="AN33" s="427">
        <f>IFERROR('07a_ATC'!AN33*'07c_ATC_Ajustado'!$L$27,0)</f>
        <v>0</v>
      </c>
      <c r="AO33" s="427">
        <f>IFERROR('07a_ATC'!AO33*'07c_ATC_Ajustado'!$L$27,0)</f>
        <v>0</v>
      </c>
      <c r="AP33" s="427">
        <f>IFERROR('07a_ATC'!AP33*'07c_ATC_Ajustado'!$L$27,0)</f>
        <v>0</v>
      </c>
      <c r="AQ33" s="427">
        <f>IFERROR('07a_ATC'!AQ33*'07c_ATC_Ajustado'!$L$27,0)</f>
        <v>0</v>
      </c>
      <c r="AR33" s="427">
        <f>IFERROR('07a_ATC'!AR33*'07c_ATC_Ajustado'!$L$27,0)</f>
        <v>0</v>
      </c>
      <c r="AS33" s="427">
        <f>IFERROR('07a_ATC'!AS33*'07c_ATC_Ajustado'!$L$27,0)</f>
        <v>0</v>
      </c>
      <c r="AT33" s="427">
        <f>IFERROR('07a_ATC'!AT33*'07c_ATC_Ajustado'!$L$27,0)</f>
        <v>0</v>
      </c>
      <c r="AU33" s="427">
        <f>IFERROR('07a_ATC'!AU33*'07c_ATC_Ajustado'!$L$27,0)</f>
        <v>0</v>
      </c>
      <c r="AV33" s="427">
        <f>IFERROR('07a_ATC'!AV33*'07c_ATC_Ajustado'!$L$27,0)</f>
        <v>0</v>
      </c>
      <c r="AW33" s="427">
        <f>IFERROR('07a_ATC'!AW33*'07c_ATC_Ajustado'!$L$27,0)</f>
        <v>0</v>
      </c>
      <c r="AX33" s="427">
        <f>IFERROR('07a_ATC'!AX33*'07c_ATC_Ajustado'!$L$27,0)</f>
        <v>0</v>
      </c>
      <c r="AY33" s="427">
        <f>IFERROR('07a_ATC'!AY33*'07c_ATC_Ajustado'!$L$27,0)</f>
        <v>0</v>
      </c>
      <c r="AZ33" s="427">
        <f>IFERROR('07a_ATC'!AZ33*'07c_ATC_Ajustado'!$L$27,0)</f>
        <v>0</v>
      </c>
      <c r="BA33" s="427">
        <f>IFERROR('07a_ATC'!BA33*'07c_ATC_Ajustado'!$L$27,0)</f>
        <v>0</v>
      </c>
      <c r="BB33" s="427">
        <f>IFERROR('07a_ATC'!BB33*'07c_ATC_Ajustado'!$L$27,0)</f>
        <v>0</v>
      </c>
      <c r="BC33" s="427">
        <f>IFERROR('07a_ATC'!BC33*'07c_ATC_Ajustado'!$L$27,0)</f>
        <v>0</v>
      </c>
      <c r="BD33" s="427">
        <f>IFERROR('07a_ATC'!BD33*'07c_ATC_Ajustado'!$L$27,0)</f>
        <v>0</v>
      </c>
      <c r="BE33" s="427">
        <f>IFERROR('07a_ATC'!BE33*'07c_ATC_Ajustado'!$L$27,0)</f>
        <v>0</v>
      </c>
      <c r="BF33" s="427">
        <f>IFERROR('07a_ATC'!BF33*'07c_ATC_Ajustado'!$L$27,0)</f>
        <v>0</v>
      </c>
    </row>
    <row r="34" spans="1:58">
      <c r="A34" s="450"/>
      <c r="B34" s="424"/>
      <c r="C34" s="424"/>
      <c r="D34" s="424"/>
      <c r="E34" s="424"/>
      <c r="F34" s="424"/>
      <c r="G34" s="424"/>
      <c r="H34" s="462"/>
      <c r="I34" s="424"/>
      <c r="J34" s="424"/>
      <c r="K34" s="459"/>
      <c r="L34" s="469" t="str">
        <f>'00_Datos_Mercado'!$B$10</f>
        <v>i_RES - No VIS</v>
      </c>
      <c r="M34" s="429">
        <f t="shared" si="12"/>
        <v>146240.81751812415</v>
      </c>
      <c r="N34" s="427">
        <f>IFERROR('07a_ATC'!N34*'07c_ATC_Ajustado'!$L$27,0)</f>
        <v>0</v>
      </c>
      <c r="O34" s="427">
        <f>IFERROR('07a_ATC'!O34*'07c_ATC_Ajustado'!$L$27,0)</f>
        <v>0</v>
      </c>
      <c r="P34" s="427">
        <f>IFERROR('07a_ATC'!P34*'07c_ATC_Ajustado'!$L$27,0)</f>
        <v>0</v>
      </c>
      <c r="Q34" s="427">
        <f>IFERROR('07a_ATC'!Q34*'07c_ATC_Ajustado'!$L$27,0)</f>
        <v>0</v>
      </c>
      <c r="R34" s="427">
        <f>IFERROR('07a_ATC'!R34*'07c_ATC_Ajustado'!$L$27,0)</f>
        <v>0</v>
      </c>
      <c r="S34" s="427">
        <f>IFERROR('07a_ATC'!S34*'07c_ATC_Ajustado'!$L$27,0)</f>
        <v>0</v>
      </c>
      <c r="T34" s="427">
        <f>IFERROR('07a_ATC'!T34*'07c_ATC_Ajustado'!$L$27,0)</f>
        <v>0</v>
      </c>
      <c r="U34" s="427">
        <f>IFERROR('07a_ATC'!U34*'07c_ATC_Ajustado'!$L$27,0)</f>
        <v>0</v>
      </c>
      <c r="V34" s="427">
        <f>IFERROR('07a_ATC'!V34*'07c_ATC_Ajustado'!$L$27,0)</f>
        <v>0</v>
      </c>
      <c r="W34" s="427">
        <f>IFERROR('07a_ATC'!W34*'07c_ATC_Ajustado'!$L$27,0)</f>
        <v>5416.3265747453397</v>
      </c>
      <c r="X34" s="427">
        <f>IFERROR('07a_ATC'!X34*'07c_ATC_Ajustado'!$L$27,0)</f>
        <v>5416.3265747453397</v>
      </c>
      <c r="Y34" s="427">
        <f>IFERROR('07a_ATC'!Y34*'07c_ATC_Ajustado'!$L$27,0)</f>
        <v>5416.3265747453397</v>
      </c>
      <c r="Z34" s="427">
        <f>IFERROR('07a_ATC'!Z34*'07c_ATC_Ajustado'!$L$27,0)</f>
        <v>5416.3265747453397</v>
      </c>
      <c r="AA34" s="427">
        <f>IFERROR('07a_ATC'!AA34*'07c_ATC_Ajustado'!$L$27,0)</f>
        <v>5416.3265747453397</v>
      </c>
      <c r="AB34" s="427">
        <f>IFERROR('07a_ATC'!AB34*'07c_ATC_Ajustado'!$L$27,0)</f>
        <v>5416.3265747453397</v>
      </c>
      <c r="AC34" s="427">
        <f>IFERROR('07a_ATC'!AC34*'07c_ATC_Ajustado'!$L$27,0)</f>
        <v>5416.3265747453397</v>
      </c>
      <c r="AD34" s="427">
        <f>IFERROR('07a_ATC'!AD34*'07c_ATC_Ajustado'!$L$27,0)</f>
        <v>5416.3265747453397</v>
      </c>
      <c r="AE34" s="427">
        <f>IFERROR('07a_ATC'!AE34*'07c_ATC_Ajustado'!$L$27,0)</f>
        <v>5416.3265747453397</v>
      </c>
      <c r="AF34" s="427">
        <f>IFERROR('07a_ATC'!AF34*'07c_ATC_Ajustado'!$L$27,0)</f>
        <v>5416.3265747453397</v>
      </c>
      <c r="AG34" s="427">
        <f>IFERROR('07a_ATC'!AG34*'07c_ATC_Ajustado'!$L$27,0)</f>
        <v>5416.3265747453397</v>
      </c>
      <c r="AH34" s="427">
        <f>IFERROR('07a_ATC'!AH34*'07c_ATC_Ajustado'!$L$27,0)</f>
        <v>5416.3265747453397</v>
      </c>
      <c r="AI34" s="427">
        <f>IFERROR('07a_ATC'!AI34*'07c_ATC_Ajustado'!$L$27,0)</f>
        <v>5416.3265747453397</v>
      </c>
      <c r="AJ34" s="427">
        <f>IFERROR('07a_ATC'!AJ34*'07c_ATC_Ajustado'!$L$27,0)</f>
        <v>5416.3265747453397</v>
      </c>
      <c r="AK34" s="427">
        <f>IFERROR('07a_ATC'!AK34*'07c_ATC_Ajustado'!$L$27,0)</f>
        <v>5416.3265747453397</v>
      </c>
      <c r="AL34" s="427">
        <f>IFERROR('07a_ATC'!AL34*'07c_ATC_Ajustado'!$L$27,0)</f>
        <v>5416.3265747453397</v>
      </c>
      <c r="AM34" s="427">
        <f>IFERROR('07a_ATC'!AM34*'07c_ATC_Ajustado'!$L$27,0)</f>
        <v>5416.3265747453397</v>
      </c>
      <c r="AN34" s="427">
        <f>IFERROR('07a_ATC'!AN34*'07c_ATC_Ajustado'!$L$27,0)</f>
        <v>5416.3265747453397</v>
      </c>
      <c r="AO34" s="427">
        <f>IFERROR('07a_ATC'!AO34*'07c_ATC_Ajustado'!$L$27,0)</f>
        <v>5416.3265747453397</v>
      </c>
      <c r="AP34" s="427">
        <f>IFERROR('07a_ATC'!AP34*'07c_ATC_Ajustado'!$L$27,0)</f>
        <v>5416.3265747453397</v>
      </c>
      <c r="AQ34" s="427">
        <f>IFERROR('07a_ATC'!AQ34*'07c_ATC_Ajustado'!$L$27,0)</f>
        <v>5416.3265747453397</v>
      </c>
      <c r="AR34" s="427">
        <f>IFERROR('07a_ATC'!AR34*'07c_ATC_Ajustado'!$L$27,0)</f>
        <v>5416.3265747453397</v>
      </c>
      <c r="AS34" s="427">
        <f>IFERROR('07a_ATC'!AS34*'07c_ATC_Ajustado'!$L$27,0)</f>
        <v>5416.3265747453397</v>
      </c>
      <c r="AT34" s="427">
        <f>IFERROR('07a_ATC'!AT34*'07c_ATC_Ajustado'!$L$27,0)</f>
        <v>5416.3265747453397</v>
      </c>
      <c r="AU34" s="427">
        <f>IFERROR('07a_ATC'!AU34*'07c_ATC_Ajustado'!$L$27,0)</f>
        <v>5416.3265747453397</v>
      </c>
      <c r="AV34" s="427">
        <f>IFERROR('07a_ATC'!AV34*'07c_ATC_Ajustado'!$L$27,0)</f>
        <v>5416.3265747453397</v>
      </c>
      <c r="AW34" s="427">
        <f>IFERROR('07a_ATC'!AW34*'07c_ATC_Ajustado'!$L$27,0)</f>
        <v>5416.3265747453397</v>
      </c>
      <c r="AX34" s="427">
        <f>IFERROR('07a_ATC'!AX34*'07c_ATC_Ajustado'!$L$27,0)</f>
        <v>0</v>
      </c>
      <c r="AY34" s="427">
        <f>IFERROR('07a_ATC'!AY34*'07c_ATC_Ajustado'!$L$27,0)</f>
        <v>0</v>
      </c>
      <c r="AZ34" s="427">
        <f>IFERROR('07a_ATC'!AZ34*'07c_ATC_Ajustado'!$L$27,0)</f>
        <v>0</v>
      </c>
      <c r="BA34" s="427">
        <f>IFERROR('07a_ATC'!BA34*'07c_ATC_Ajustado'!$L$27,0)</f>
        <v>0</v>
      </c>
      <c r="BB34" s="427">
        <f>IFERROR('07a_ATC'!BB34*'07c_ATC_Ajustado'!$L$27,0)</f>
        <v>0</v>
      </c>
      <c r="BC34" s="427">
        <f>IFERROR('07a_ATC'!BC34*'07c_ATC_Ajustado'!$L$27,0)</f>
        <v>0</v>
      </c>
      <c r="BD34" s="427">
        <f>IFERROR('07a_ATC'!BD34*'07c_ATC_Ajustado'!$L$27,0)</f>
        <v>0</v>
      </c>
      <c r="BE34" s="427">
        <f>IFERROR('07a_ATC'!BE34*'07c_ATC_Ajustado'!$L$27,0)</f>
        <v>0</v>
      </c>
      <c r="BF34" s="427">
        <f>IFERROR('07a_ATC'!BF34*'07c_ATC_Ajustado'!$L$27,0)</f>
        <v>0</v>
      </c>
    </row>
    <row r="35" spans="1:58">
      <c r="A35" s="450"/>
      <c r="B35" s="424"/>
      <c r="C35" s="424"/>
      <c r="D35" s="424"/>
      <c r="E35" s="424"/>
      <c r="F35" s="424"/>
      <c r="G35" s="424"/>
      <c r="H35" s="462"/>
      <c r="I35" s="424"/>
      <c r="J35" s="424"/>
      <c r="K35" s="459"/>
      <c r="L35" s="470" t="s">
        <v>697</v>
      </c>
      <c r="M35" s="471">
        <f t="shared" si="12"/>
        <v>10832.653149490679</v>
      </c>
      <c r="N35" s="472">
        <f>IFERROR('07a_ATC'!N35*'07c_ATC_Ajustado'!$L$27,0)</f>
        <v>0</v>
      </c>
      <c r="O35" s="472">
        <f>IFERROR('07a_ATC'!O35*'07c_ATC_Ajustado'!$L$27,0)</f>
        <v>0</v>
      </c>
      <c r="P35" s="472">
        <f>IFERROR('07a_ATC'!P35*'07c_ATC_Ajustado'!$L$27,0)</f>
        <v>0</v>
      </c>
      <c r="Q35" s="472">
        <f>IFERROR('07a_ATC'!Q35*'07c_ATC_Ajustado'!$L$27,0)</f>
        <v>0</v>
      </c>
      <c r="R35" s="472">
        <f>IFERROR('07a_ATC'!R35*'07c_ATC_Ajustado'!$L$27,0)</f>
        <v>5416.3265747453397</v>
      </c>
      <c r="S35" s="472">
        <f>IFERROR('07a_ATC'!S35*'07c_ATC_Ajustado'!$L$27,0)</f>
        <v>0</v>
      </c>
      <c r="T35" s="472">
        <f>IFERROR('07a_ATC'!T35*'07c_ATC_Ajustado'!$L$27,0)</f>
        <v>0</v>
      </c>
      <c r="U35" s="472">
        <f>IFERROR('07a_ATC'!U35*'07c_ATC_Ajustado'!$L$27,0)</f>
        <v>0</v>
      </c>
      <c r="V35" s="472">
        <f>IFERROR('07a_ATC'!V35*'07c_ATC_Ajustado'!$L$27,0)</f>
        <v>0</v>
      </c>
      <c r="W35" s="472">
        <f>IFERROR('07a_ATC'!W35*'07c_ATC_Ajustado'!$L$27,0)</f>
        <v>0</v>
      </c>
      <c r="X35" s="472">
        <f>IFERROR('07a_ATC'!X35*'07c_ATC_Ajustado'!$L$27,0)</f>
        <v>0</v>
      </c>
      <c r="Y35" s="472">
        <f>IFERROR('07a_ATC'!Y35*'07c_ATC_Ajustado'!$L$27,0)</f>
        <v>0</v>
      </c>
      <c r="Z35" s="472">
        <f>IFERROR('07a_ATC'!Z35*'07c_ATC_Ajustado'!$L$27,0)</f>
        <v>0</v>
      </c>
      <c r="AA35" s="472">
        <f>IFERROR('07a_ATC'!AA35*'07c_ATC_Ajustado'!$L$27,0)</f>
        <v>0</v>
      </c>
      <c r="AB35" s="472">
        <f>IFERROR('07a_ATC'!AB35*'07c_ATC_Ajustado'!$L$27,0)</f>
        <v>0</v>
      </c>
      <c r="AC35" s="472">
        <f>IFERROR('07a_ATC'!AC35*'07c_ATC_Ajustado'!$L$27,0)</f>
        <v>0</v>
      </c>
      <c r="AD35" s="472">
        <f>IFERROR('07a_ATC'!AD35*'07c_ATC_Ajustado'!$L$27,0)</f>
        <v>0</v>
      </c>
      <c r="AE35" s="472">
        <f>IFERROR('07a_ATC'!AE35*'07c_ATC_Ajustado'!$L$27,0)</f>
        <v>0</v>
      </c>
      <c r="AF35" s="472">
        <f>IFERROR('07a_ATC'!AF35*'07c_ATC_Ajustado'!$L$27,0)</f>
        <v>0</v>
      </c>
      <c r="AG35" s="472">
        <f>IFERROR('07a_ATC'!AG35*'07c_ATC_Ajustado'!$L$27,0)</f>
        <v>0</v>
      </c>
      <c r="AH35" s="472">
        <f>IFERROR('07a_ATC'!AH35*'07c_ATC_Ajustado'!$L$27,0)</f>
        <v>0</v>
      </c>
      <c r="AI35" s="472">
        <f>IFERROR('07a_ATC'!AI35*'07c_ATC_Ajustado'!$L$27,0)</f>
        <v>0</v>
      </c>
      <c r="AJ35" s="472">
        <f>IFERROR('07a_ATC'!AJ35*'07c_ATC_Ajustado'!$L$27,0)</f>
        <v>0</v>
      </c>
      <c r="AK35" s="472">
        <f>IFERROR('07a_ATC'!AK35*'07c_ATC_Ajustado'!$L$27,0)</f>
        <v>0</v>
      </c>
      <c r="AL35" s="472">
        <f>IFERROR('07a_ATC'!AL35*'07c_ATC_Ajustado'!$L$27,0)</f>
        <v>0</v>
      </c>
      <c r="AM35" s="472">
        <f>IFERROR('07a_ATC'!AM35*'07c_ATC_Ajustado'!$L$27,0)</f>
        <v>0</v>
      </c>
      <c r="AN35" s="472">
        <f>IFERROR('07a_ATC'!AN35*'07c_ATC_Ajustado'!$L$27,0)</f>
        <v>0</v>
      </c>
      <c r="AO35" s="472">
        <f>IFERROR('07a_ATC'!AO35*'07c_ATC_Ajustado'!$L$27,0)</f>
        <v>0</v>
      </c>
      <c r="AP35" s="472">
        <f>IFERROR('07a_ATC'!AP35*'07c_ATC_Ajustado'!$L$27,0)</f>
        <v>0</v>
      </c>
      <c r="AQ35" s="472">
        <f>IFERROR('07a_ATC'!AQ35*'07c_ATC_Ajustado'!$L$27,0)</f>
        <v>0</v>
      </c>
      <c r="AR35" s="472">
        <f>IFERROR('07a_ATC'!AR35*'07c_ATC_Ajustado'!$L$27,0)</f>
        <v>0</v>
      </c>
      <c r="AS35" s="472">
        <f>IFERROR('07a_ATC'!AS35*'07c_ATC_Ajustado'!$L$27,0)</f>
        <v>0</v>
      </c>
      <c r="AT35" s="472">
        <f>IFERROR('07a_ATC'!AT35*'07c_ATC_Ajustado'!$L$27,0)</f>
        <v>0</v>
      </c>
      <c r="AU35" s="472">
        <f>IFERROR('07a_ATC'!AU35*'07c_ATC_Ajustado'!$L$27,0)</f>
        <v>0</v>
      </c>
      <c r="AV35" s="472">
        <f>IFERROR('07a_ATC'!AV35*'07c_ATC_Ajustado'!$L$27,0)</f>
        <v>0</v>
      </c>
      <c r="AW35" s="472">
        <f>IFERROR('07a_ATC'!AW35*'07c_ATC_Ajustado'!$L$27,0)</f>
        <v>0</v>
      </c>
      <c r="AX35" s="472">
        <f>IFERROR('07a_ATC'!AX35*'07c_ATC_Ajustado'!$L$27,0)</f>
        <v>5416.3265747453397</v>
      </c>
      <c r="AY35" s="472">
        <f>IFERROR('07a_ATC'!AY35*'07c_ATC_Ajustado'!$L$27,0)</f>
        <v>0</v>
      </c>
      <c r="AZ35" s="472">
        <f>IFERROR('07a_ATC'!AZ35*'07c_ATC_Ajustado'!$L$27,0)</f>
        <v>0</v>
      </c>
      <c r="BA35" s="472">
        <f>IFERROR('07a_ATC'!BA35*'07c_ATC_Ajustado'!$L$27,0)</f>
        <v>0</v>
      </c>
      <c r="BB35" s="472">
        <f>IFERROR('07a_ATC'!BB35*'07c_ATC_Ajustado'!$L$27,0)</f>
        <v>0</v>
      </c>
      <c r="BC35" s="472">
        <f>IFERROR('07a_ATC'!BC35*'07c_ATC_Ajustado'!$L$27,0)</f>
        <v>0</v>
      </c>
      <c r="BD35" s="472">
        <f>IFERROR('07a_ATC'!BD35*'07c_ATC_Ajustado'!$L$27,0)</f>
        <v>0</v>
      </c>
      <c r="BE35" s="472">
        <f>IFERROR('07a_ATC'!BE35*'07c_ATC_Ajustado'!$L$27,0)</f>
        <v>0</v>
      </c>
      <c r="BF35" s="472">
        <f>IFERROR('07a_ATC'!BF35*'07c_ATC_Ajustado'!$L$27,0)</f>
        <v>0</v>
      </c>
    </row>
    <row r="36" spans="1:58" s="456" customFormat="1" ht="15.6">
      <c r="A36" s="450">
        <v>4</v>
      </c>
      <c r="B36" s="452">
        <f>SUMIF('04a_PROPUESTA_MO'!$R$9:$R$42,'07c_ATC_Ajustado'!A36,'04a_PROPUESTA_MO'!$T$9:$T$42)</f>
        <v>25621.213912839001</v>
      </c>
      <c r="C36" s="452">
        <f>SUMIF('04a_PROPUESTA_MO'!$R$9:$R$42,'07c_ATC_Ajustado'!A36,'04a_PROPUESTA_MO'!$AH$9:$AH$42)</f>
        <v>6313.2384713358988</v>
      </c>
      <c r="D36" s="452">
        <f>SUMIF('04a_PROPUESTA_MO'!$R$9:$R$42,'07c_ATC_Ajustado'!A36,'04a_PROPUESTA_MO'!$AI$9:$AI$42)</f>
        <v>8869.4347907373231</v>
      </c>
      <c r="E36" s="452">
        <f>SUMIF('04a_PROPUESTA_MO'!$R$9:$R$42,'07c_ATC_Ajustado'!A36,'04a_PROPUESTA_MO'!$AJ$9:$AJ$42)</f>
        <v>0</v>
      </c>
      <c r="F36" s="452">
        <f t="shared" si="4"/>
        <v>15182.673262073222</v>
      </c>
      <c r="G36" s="452">
        <f t="shared" si="5"/>
        <v>10438.540650765779</v>
      </c>
      <c r="H36" s="453">
        <f>G36/$G$7</f>
        <v>0.18099889009031855</v>
      </c>
      <c r="I36" s="452">
        <f t="shared" si="6"/>
        <v>2305.0707388953133</v>
      </c>
      <c r="J36" s="452">
        <f>SUMIF('04a_PROPUESTA_MO'!$R$9:$R$42,'07c_ATC_Ajustado'!A36,'04a_PROPUESTA_MO'!$AN$9:$AN$42)</f>
        <v>8133.4699118704657</v>
      </c>
      <c r="K36" s="454">
        <f t="shared" si="7"/>
        <v>0.18507012201574305</v>
      </c>
      <c r="L36" s="460">
        <f>1+'07b_ATC_Ajuste'!$E$8</f>
        <v>1.0234917888713755</v>
      </c>
      <c r="M36" s="461">
        <f>SUM(M37:M43)</f>
        <v>274010.04051007587</v>
      </c>
      <c r="N36" s="461">
        <f t="shared" ref="N36:BF36" si="13">SUM(N37:N43)</f>
        <v>8133.1160907590529</v>
      </c>
      <c r="O36" s="461">
        <f t="shared" si="13"/>
        <v>8698.2780216559386</v>
      </c>
      <c r="P36" s="461">
        <f t="shared" si="13"/>
        <v>8698.2780216559368</v>
      </c>
      <c r="Q36" s="461">
        <f t="shared" si="13"/>
        <v>8698.2780216559368</v>
      </c>
      <c r="R36" s="461">
        <f t="shared" si="13"/>
        <v>0</v>
      </c>
      <c r="S36" s="461">
        <f t="shared" si="13"/>
        <v>7734.9061404628665</v>
      </c>
      <c r="T36" s="461">
        <f t="shared" si="13"/>
        <v>7734.9061404628665</v>
      </c>
      <c r="U36" s="461">
        <f t="shared" si="13"/>
        <v>7734.9061404628665</v>
      </c>
      <c r="V36" s="461">
        <f t="shared" si="13"/>
        <v>7734.9061404628665</v>
      </c>
      <c r="W36" s="461">
        <f t="shared" si="13"/>
        <v>7734.9061404628665</v>
      </c>
      <c r="X36" s="461">
        <f t="shared" si="13"/>
        <v>7734.9061404628665</v>
      </c>
      <c r="Y36" s="461">
        <f t="shared" si="13"/>
        <v>7734.9061404628665</v>
      </c>
      <c r="Z36" s="461">
        <f t="shared" si="13"/>
        <v>7734.9061404628665</v>
      </c>
      <c r="AA36" s="461">
        <f t="shared" si="13"/>
        <v>7734.9061404628665</v>
      </c>
      <c r="AB36" s="461">
        <f t="shared" si="13"/>
        <v>7734.9061404628665</v>
      </c>
      <c r="AC36" s="461">
        <f t="shared" si="13"/>
        <v>7734.9061404628665</v>
      </c>
      <c r="AD36" s="461">
        <f t="shared" si="13"/>
        <v>7734.9061404628665</v>
      </c>
      <c r="AE36" s="461">
        <f t="shared" si="13"/>
        <v>7734.9061404628665</v>
      </c>
      <c r="AF36" s="461">
        <f t="shared" si="13"/>
        <v>7734.9061404628665</v>
      </c>
      <c r="AG36" s="461">
        <f t="shared" si="13"/>
        <v>7734.9061404628665</v>
      </c>
      <c r="AH36" s="461">
        <f t="shared" si="13"/>
        <v>7734.9061404628665</v>
      </c>
      <c r="AI36" s="461">
        <f t="shared" si="13"/>
        <v>7734.9061404628665</v>
      </c>
      <c r="AJ36" s="461">
        <f t="shared" si="13"/>
        <v>7734.9061404628665</v>
      </c>
      <c r="AK36" s="461">
        <f t="shared" si="13"/>
        <v>7734.9061404628665</v>
      </c>
      <c r="AL36" s="461">
        <f t="shared" si="13"/>
        <v>7734.9061404628665</v>
      </c>
      <c r="AM36" s="461">
        <f t="shared" si="13"/>
        <v>7734.9061404628665</v>
      </c>
      <c r="AN36" s="461">
        <f t="shared" si="13"/>
        <v>7734.9061404628665</v>
      </c>
      <c r="AO36" s="461">
        <f t="shared" si="13"/>
        <v>7734.9061404628665</v>
      </c>
      <c r="AP36" s="461">
        <f t="shared" si="13"/>
        <v>7734.9061404628665</v>
      </c>
      <c r="AQ36" s="461">
        <f t="shared" si="13"/>
        <v>7734.9061404628665</v>
      </c>
      <c r="AR36" s="461">
        <f t="shared" si="13"/>
        <v>7734.9061404628665</v>
      </c>
      <c r="AS36" s="461">
        <f t="shared" si="13"/>
        <v>7734.9061404628665</v>
      </c>
      <c r="AT36" s="461">
        <f t="shared" si="13"/>
        <v>7734.9061404628665</v>
      </c>
      <c r="AU36" s="461">
        <f t="shared" si="13"/>
        <v>7734.9061404628665</v>
      </c>
      <c r="AV36" s="461">
        <f t="shared" si="13"/>
        <v>7734.9061404628665</v>
      </c>
      <c r="AW36" s="461">
        <f t="shared" si="13"/>
        <v>7734.9061404628665</v>
      </c>
      <c r="AX36" s="461">
        <f t="shared" si="13"/>
        <v>0</v>
      </c>
      <c r="AY36" s="461">
        <f t="shared" si="13"/>
        <v>0</v>
      </c>
      <c r="AZ36" s="461">
        <f t="shared" si="13"/>
        <v>0</v>
      </c>
      <c r="BA36" s="461">
        <f t="shared" si="13"/>
        <v>0</v>
      </c>
      <c r="BB36" s="461">
        <f t="shared" si="13"/>
        <v>0</v>
      </c>
      <c r="BC36" s="461">
        <f t="shared" si="13"/>
        <v>0</v>
      </c>
      <c r="BD36" s="461">
        <f t="shared" si="13"/>
        <v>0</v>
      </c>
      <c r="BE36" s="461">
        <f t="shared" si="13"/>
        <v>0</v>
      </c>
      <c r="BF36" s="461">
        <f t="shared" si="13"/>
        <v>0</v>
      </c>
    </row>
    <row r="37" spans="1:58">
      <c r="A37" s="450"/>
      <c r="B37" s="424"/>
      <c r="C37" s="424"/>
      <c r="D37" s="424"/>
      <c r="E37" s="424"/>
      <c r="F37" s="424"/>
      <c r="G37" s="424"/>
      <c r="H37" s="462"/>
      <c r="I37" s="424"/>
      <c r="J37" s="424"/>
      <c r="K37" s="459"/>
      <c r="L37" s="463" t="str">
        <f>'00_Datos_Mercado'!$B$3</f>
        <v xml:space="preserve">a_CS - Creativos </v>
      </c>
      <c r="M37" s="429">
        <f t="shared" ref="M37:M43" si="14">SUM(N37:BF37)</f>
        <v>5637.8840491621941</v>
      </c>
      <c r="N37" s="427">
        <f>IFERROR('07a_ATC'!N37*'07c_ATC_Ajustado'!$L$36,0)</f>
        <v>2695.3963307464337</v>
      </c>
      <c r="O37" s="427">
        <f>IFERROR('07a_ATC'!O37*'07c_ATC_Ajustado'!$L$36,0)</f>
        <v>2942.4877184157608</v>
      </c>
      <c r="P37" s="427">
        <f>IFERROR('07a_ATC'!P37*'07c_ATC_Ajustado'!$L$36,0)</f>
        <v>0</v>
      </c>
      <c r="Q37" s="427">
        <f>IFERROR('07a_ATC'!Q37*'07c_ATC_Ajustado'!$L$36,0)</f>
        <v>0</v>
      </c>
      <c r="R37" s="427">
        <f>IFERROR('07a_ATC'!R37*'07c_ATC_Ajustado'!$L$36,0)</f>
        <v>0</v>
      </c>
      <c r="S37" s="427">
        <f>IFERROR('07a_ATC'!S37*'07c_ATC_Ajustado'!$L$36,0)</f>
        <v>0</v>
      </c>
      <c r="T37" s="427">
        <f>IFERROR('07a_ATC'!T37*'07c_ATC_Ajustado'!$L$36,0)</f>
        <v>0</v>
      </c>
      <c r="U37" s="427">
        <f>IFERROR('07a_ATC'!U37*'07c_ATC_Ajustado'!$L$36,0)</f>
        <v>0</v>
      </c>
      <c r="V37" s="427">
        <f>IFERROR('07a_ATC'!V37*'07c_ATC_Ajustado'!$L$36,0)</f>
        <v>0</v>
      </c>
      <c r="W37" s="427">
        <f>IFERROR('07a_ATC'!W37*'07c_ATC_Ajustado'!$L$36,0)</f>
        <v>0</v>
      </c>
      <c r="X37" s="427">
        <f>IFERROR('07a_ATC'!X37*'07c_ATC_Ajustado'!$L$36,0)</f>
        <v>0</v>
      </c>
      <c r="Y37" s="427">
        <f>IFERROR('07a_ATC'!Y37*'07c_ATC_Ajustado'!$L$36,0)</f>
        <v>0</v>
      </c>
      <c r="Z37" s="427">
        <f>IFERROR('07a_ATC'!Z37*'07c_ATC_Ajustado'!$L$36,0)</f>
        <v>0</v>
      </c>
      <c r="AA37" s="427">
        <f>IFERROR('07a_ATC'!AA37*'07c_ATC_Ajustado'!$L$36,0)</f>
        <v>0</v>
      </c>
      <c r="AB37" s="427">
        <f>IFERROR('07a_ATC'!AB37*'07c_ATC_Ajustado'!$L$36,0)</f>
        <v>0</v>
      </c>
      <c r="AC37" s="427">
        <f>IFERROR('07a_ATC'!AC37*'07c_ATC_Ajustado'!$L$36,0)</f>
        <v>0</v>
      </c>
      <c r="AD37" s="427">
        <f>IFERROR('07a_ATC'!AD37*'07c_ATC_Ajustado'!$L$36,0)</f>
        <v>0</v>
      </c>
      <c r="AE37" s="427">
        <f>IFERROR('07a_ATC'!AE37*'07c_ATC_Ajustado'!$L$36,0)</f>
        <v>0</v>
      </c>
      <c r="AF37" s="427">
        <f>IFERROR('07a_ATC'!AF37*'07c_ATC_Ajustado'!$L$36,0)</f>
        <v>0</v>
      </c>
      <c r="AG37" s="427">
        <f>IFERROR('07a_ATC'!AG37*'07c_ATC_Ajustado'!$L$36,0)</f>
        <v>0</v>
      </c>
      <c r="AH37" s="427">
        <f>IFERROR('07a_ATC'!AH37*'07c_ATC_Ajustado'!$L$36,0)</f>
        <v>0</v>
      </c>
      <c r="AI37" s="427">
        <f>IFERROR('07a_ATC'!AI37*'07c_ATC_Ajustado'!$L$36,0)</f>
        <v>0</v>
      </c>
      <c r="AJ37" s="427">
        <f>IFERROR('07a_ATC'!AJ37*'07c_ATC_Ajustado'!$L$36,0)</f>
        <v>0</v>
      </c>
      <c r="AK37" s="427">
        <f>IFERROR('07a_ATC'!AK37*'07c_ATC_Ajustado'!$L$36,0)</f>
        <v>0</v>
      </c>
      <c r="AL37" s="427">
        <f>IFERROR('07a_ATC'!AL37*'07c_ATC_Ajustado'!$L$36,0)</f>
        <v>0</v>
      </c>
      <c r="AM37" s="427">
        <f>IFERROR('07a_ATC'!AM37*'07c_ATC_Ajustado'!$L$36,0)</f>
        <v>0</v>
      </c>
      <c r="AN37" s="427">
        <f>IFERROR('07a_ATC'!AN37*'07c_ATC_Ajustado'!$L$36,0)</f>
        <v>0</v>
      </c>
      <c r="AO37" s="427">
        <f>IFERROR('07a_ATC'!AO37*'07c_ATC_Ajustado'!$L$36,0)</f>
        <v>0</v>
      </c>
      <c r="AP37" s="427">
        <f>IFERROR('07a_ATC'!AP37*'07c_ATC_Ajustado'!$L$36,0)</f>
        <v>0</v>
      </c>
      <c r="AQ37" s="427">
        <f>IFERROR('07a_ATC'!AQ37*'07c_ATC_Ajustado'!$L$36,0)</f>
        <v>0</v>
      </c>
      <c r="AR37" s="427">
        <f>IFERROR('07a_ATC'!AR37*'07c_ATC_Ajustado'!$L$36,0)</f>
        <v>0</v>
      </c>
      <c r="AS37" s="427">
        <f>IFERROR('07a_ATC'!AS37*'07c_ATC_Ajustado'!$L$36,0)</f>
        <v>0</v>
      </c>
      <c r="AT37" s="427">
        <f>IFERROR('07a_ATC'!AT37*'07c_ATC_Ajustado'!$L$36,0)</f>
        <v>0</v>
      </c>
      <c r="AU37" s="427">
        <f>IFERROR('07a_ATC'!AU37*'07c_ATC_Ajustado'!$L$36,0)</f>
        <v>0</v>
      </c>
      <c r="AV37" s="427">
        <f>IFERROR('07a_ATC'!AV37*'07c_ATC_Ajustado'!$L$36,0)</f>
        <v>0</v>
      </c>
      <c r="AW37" s="427">
        <f>IFERROR('07a_ATC'!AW37*'07c_ATC_Ajustado'!$L$36,0)</f>
        <v>0</v>
      </c>
      <c r="AX37" s="427">
        <f>IFERROR('07a_ATC'!AX37*'07c_ATC_Ajustado'!$L$36,0)</f>
        <v>0</v>
      </c>
      <c r="AY37" s="427">
        <f>IFERROR('07a_ATC'!AY37*'07c_ATC_Ajustado'!$L$36,0)</f>
        <v>0</v>
      </c>
      <c r="AZ37" s="427">
        <f>IFERROR('07a_ATC'!AZ37*'07c_ATC_Ajustado'!$L$36,0)</f>
        <v>0</v>
      </c>
      <c r="BA37" s="427">
        <f>IFERROR('07a_ATC'!BA37*'07c_ATC_Ajustado'!$L$36,0)</f>
        <v>0</v>
      </c>
      <c r="BB37" s="427">
        <f>IFERROR('07a_ATC'!BB37*'07c_ATC_Ajustado'!$L$36,0)</f>
        <v>0</v>
      </c>
      <c r="BC37" s="427">
        <f>IFERROR('07a_ATC'!BC37*'07c_ATC_Ajustado'!$L$36,0)</f>
        <v>0</v>
      </c>
      <c r="BD37" s="427">
        <f>IFERROR('07a_ATC'!BD37*'07c_ATC_Ajustado'!$L$36,0)</f>
        <v>0</v>
      </c>
      <c r="BE37" s="427">
        <f>IFERROR('07a_ATC'!BE37*'07c_ATC_Ajustado'!$L$36,0)</f>
        <v>0</v>
      </c>
      <c r="BF37" s="427">
        <f>IFERROR('07a_ATC'!BF37*'07c_ATC_Ajustado'!$L$36,0)</f>
        <v>0</v>
      </c>
    </row>
    <row r="38" spans="1:58">
      <c r="A38" s="450"/>
      <c r="B38" s="424"/>
      <c r="C38" s="424"/>
      <c r="D38" s="424"/>
      <c r="E38" s="424"/>
      <c r="F38" s="424"/>
      <c r="G38" s="424"/>
      <c r="H38" s="462"/>
      <c r="I38" s="424"/>
      <c r="J38" s="424"/>
      <c r="K38" s="459"/>
      <c r="L38" s="464" t="str">
        <f>'00_Datos_Mercado'!$B$4</f>
        <v>b_CS - General (Comercio + Oficinas + Hospedaje)</v>
      </c>
      <c r="M38" s="429">
        <f t="shared" si="14"/>
        <v>23152.346346552051</v>
      </c>
      <c r="N38" s="427">
        <f>IFERROR('07a_ATC'!N38*'07c_ATC_Ajustado'!$L$36,0)</f>
        <v>0</v>
      </c>
      <c r="O38" s="427">
        <f>IFERROR('07a_ATC'!O38*'07c_ATC_Ajustado'!$L$36,0)</f>
        <v>5755.7903032401773</v>
      </c>
      <c r="P38" s="427">
        <f>IFERROR('07a_ATC'!P38*'07c_ATC_Ajustado'!$L$36,0)</f>
        <v>8698.2780216559368</v>
      </c>
      <c r="Q38" s="427">
        <f>IFERROR('07a_ATC'!Q38*'07c_ATC_Ajustado'!$L$36,0)</f>
        <v>8698.2780216559368</v>
      </c>
      <c r="R38" s="427">
        <f>IFERROR('07a_ATC'!R38*'07c_ATC_Ajustado'!$L$36,0)</f>
        <v>0</v>
      </c>
      <c r="S38" s="427">
        <f>IFERROR('07a_ATC'!S38*'07c_ATC_Ajustado'!$L$36,0)</f>
        <v>0</v>
      </c>
      <c r="T38" s="427">
        <f>IFERROR('07a_ATC'!T38*'07c_ATC_Ajustado'!$L$36,0)</f>
        <v>0</v>
      </c>
      <c r="U38" s="427">
        <f>IFERROR('07a_ATC'!U38*'07c_ATC_Ajustado'!$L$36,0)</f>
        <v>0</v>
      </c>
      <c r="V38" s="427">
        <f>IFERROR('07a_ATC'!V38*'07c_ATC_Ajustado'!$L$36,0)</f>
        <v>0</v>
      </c>
      <c r="W38" s="427">
        <f>IFERROR('07a_ATC'!W38*'07c_ATC_Ajustado'!$L$36,0)</f>
        <v>0</v>
      </c>
      <c r="X38" s="427">
        <f>IFERROR('07a_ATC'!X38*'07c_ATC_Ajustado'!$L$36,0)</f>
        <v>0</v>
      </c>
      <c r="Y38" s="427">
        <f>IFERROR('07a_ATC'!Y38*'07c_ATC_Ajustado'!$L$36,0)</f>
        <v>0</v>
      </c>
      <c r="Z38" s="427">
        <f>IFERROR('07a_ATC'!Z38*'07c_ATC_Ajustado'!$L$36,0)</f>
        <v>0</v>
      </c>
      <c r="AA38" s="427">
        <f>IFERROR('07a_ATC'!AA38*'07c_ATC_Ajustado'!$L$36,0)</f>
        <v>0</v>
      </c>
      <c r="AB38" s="427">
        <f>IFERROR('07a_ATC'!AB38*'07c_ATC_Ajustado'!$L$36,0)</f>
        <v>0</v>
      </c>
      <c r="AC38" s="427">
        <f>IFERROR('07a_ATC'!AC38*'07c_ATC_Ajustado'!$L$36,0)</f>
        <v>0</v>
      </c>
      <c r="AD38" s="427">
        <f>IFERROR('07a_ATC'!AD38*'07c_ATC_Ajustado'!$L$36,0)</f>
        <v>0</v>
      </c>
      <c r="AE38" s="427">
        <f>IFERROR('07a_ATC'!AE38*'07c_ATC_Ajustado'!$L$36,0)</f>
        <v>0</v>
      </c>
      <c r="AF38" s="427">
        <f>IFERROR('07a_ATC'!AF38*'07c_ATC_Ajustado'!$L$36,0)</f>
        <v>0</v>
      </c>
      <c r="AG38" s="427">
        <f>IFERROR('07a_ATC'!AG38*'07c_ATC_Ajustado'!$L$36,0)</f>
        <v>0</v>
      </c>
      <c r="AH38" s="427">
        <f>IFERROR('07a_ATC'!AH38*'07c_ATC_Ajustado'!$L$36,0)</f>
        <v>0</v>
      </c>
      <c r="AI38" s="427">
        <f>IFERROR('07a_ATC'!AI38*'07c_ATC_Ajustado'!$L$36,0)</f>
        <v>0</v>
      </c>
      <c r="AJ38" s="427">
        <f>IFERROR('07a_ATC'!AJ38*'07c_ATC_Ajustado'!$L$36,0)</f>
        <v>0</v>
      </c>
      <c r="AK38" s="427">
        <f>IFERROR('07a_ATC'!AK38*'07c_ATC_Ajustado'!$L$36,0)</f>
        <v>0</v>
      </c>
      <c r="AL38" s="427">
        <f>IFERROR('07a_ATC'!AL38*'07c_ATC_Ajustado'!$L$36,0)</f>
        <v>0</v>
      </c>
      <c r="AM38" s="427">
        <f>IFERROR('07a_ATC'!AM38*'07c_ATC_Ajustado'!$L$36,0)</f>
        <v>0</v>
      </c>
      <c r="AN38" s="427">
        <f>IFERROR('07a_ATC'!AN38*'07c_ATC_Ajustado'!$L$36,0)</f>
        <v>0</v>
      </c>
      <c r="AO38" s="427">
        <f>IFERROR('07a_ATC'!AO38*'07c_ATC_Ajustado'!$L$36,0)</f>
        <v>0</v>
      </c>
      <c r="AP38" s="427">
        <f>IFERROR('07a_ATC'!AP38*'07c_ATC_Ajustado'!$L$36,0)</f>
        <v>0</v>
      </c>
      <c r="AQ38" s="427">
        <f>IFERROR('07a_ATC'!AQ38*'07c_ATC_Ajustado'!$L$36,0)</f>
        <v>0</v>
      </c>
      <c r="AR38" s="427">
        <f>IFERROR('07a_ATC'!AR38*'07c_ATC_Ajustado'!$L$36,0)</f>
        <v>0</v>
      </c>
      <c r="AS38" s="427">
        <f>IFERROR('07a_ATC'!AS38*'07c_ATC_Ajustado'!$L$36,0)</f>
        <v>0</v>
      </c>
      <c r="AT38" s="427">
        <f>IFERROR('07a_ATC'!AT38*'07c_ATC_Ajustado'!$L$36,0)</f>
        <v>0</v>
      </c>
      <c r="AU38" s="427">
        <f>IFERROR('07a_ATC'!AU38*'07c_ATC_Ajustado'!$L$36,0)</f>
        <v>0</v>
      </c>
      <c r="AV38" s="427">
        <f>IFERROR('07a_ATC'!AV38*'07c_ATC_Ajustado'!$L$36,0)</f>
        <v>0</v>
      </c>
      <c r="AW38" s="427">
        <f>IFERROR('07a_ATC'!AW38*'07c_ATC_Ajustado'!$L$36,0)</f>
        <v>0</v>
      </c>
      <c r="AX38" s="427">
        <f>IFERROR('07a_ATC'!AX38*'07c_ATC_Ajustado'!$L$36,0)</f>
        <v>0</v>
      </c>
      <c r="AY38" s="427">
        <f>IFERROR('07a_ATC'!AY38*'07c_ATC_Ajustado'!$L$36,0)</f>
        <v>0</v>
      </c>
      <c r="AZ38" s="427">
        <f>IFERROR('07a_ATC'!AZ38*'07c_ATC_Ajustado'!$L$36,0)</f>
        <v>0</v>
      </c>
      <c r="BA38" s="427">
        <f>IFERROR('07a_ATC'!BA38*'07c_ATC_Ajustado'!$L$36,0)</f>
        <v>0</v>
      </c>
      <c r="BB38" s="427">
        <f>IFERROR('07a_ATC'!BB38*'07c_ATC_Ajustado'!$L$36,0)</f>
        <v>0</v>
      </c>
      <c r="BC38" s="427">
        <f>IFERROR('07a_ATC'!BC38*'07c_ATC_Ajustado'!$L$36,0)</f>
        <v>0</v>
      </c>
      <c r="BD38" s="427">
        <f>IFERROR('07a_ATC'!BD38*'07c_ATC_Ajustado'!$L$36,0)</f>
        <v>0</v>
      </c>
      <c r="BE38" s="427">
        <f>IFERROR('07a_ATC'!BE38*'07c_ATC_Ajustado'!$L$36,0)</f>
        <v>0</v>
      </c>
      <c r="BF38" s="427">
        <f>IFERROR('07a_ATC'!BF38*'07c_ATC_Ajustado'!$L$36,0)</f>
        <v>0</v>
      </c>
    </row>
    <row r="39" spans="1:58">
      <c r="A39" s="450"/>
      <c r="B39" s="424"/>
      <c r="C39" s="424"/>
      <c r="D39" s="424"/>
      <c r="E39" s="424"/>
      <c r="F39" s="424"/>
      <c r="G39" s="424"/>
      <c r="H39" s="462"/>
      <c r="I39" s="424"/>
      <c r="J39" s="424"/>
      <c r="K39" s="459"/>
      <c r="L39" s="465" t="str">
        <f>'00_Datos_Mercado'!$B$5</f>
        <v>c_CS - Grandes Superficies</v>
      </c>
      <c r="M39" s="429">
        <f t="shared" si="14"/>
        <v>5437.7197600126192</v>
      </c>
      <c r="N39" s="427">
        <f>IFERROR('07a_ATC'!N39*'07c_ATC_Ajustado'!$L$36,0)</f>
        <v>5437.7197600126192</v>
      </c>
      <c r="O39" s="427">
        <f>IFERROR('07a_ATC'!O39*'07c_ATC_Ajustado'!$L$36,0)</f>
        <v>0</v>
      </c>
      <c r="P39" s="427">
        <f>IFERROR('07a_ATC'!P39*'07c_ATC_Ajustado'!$L$36,0)</f>
        <v>0</v>
      </c>
      <c r="Q39" s="427">
        <f>IFERROR('07a_ATC'!Q39*'07c_ATC_Ajustado'!$L$36,0)</f>
        <v>0</v>
      </c>
      <c r="R39" s="427">
        <f>IFERROR('07a_ATC'!R39*'07c_ATC_Ajustado'!$L$36,0)</f>
        <v>0</v>
      </c>
      <c r="S39" s="427">
        <f>IFERROR('07a_ATC'!S39*'07c_ATC_Ajustado'!$L$36,0)</f>
        <v>0</v>
      </c>
      <c r="T39" s="427">
        <f>IFERROR('07a_ATC'!T39*'07c_ATC_Ajustado'!$L$36,0)</f>
        <v>0</v>
      </c>
      <c r="U39" s="427">
        <f>IFERROR('07a_ATC'!U39*'07c_ATC_Ajustado'!$L$36,0)</f>
        <v>0</v>
      </c>
      <c r="V39" s="427">
        <f>IFERROR('07a_ATC'!V39*'07c_ATC_Ajustado'!$L$36,0)</f>
        <v>0</v>
      </c>
      <c r="W39" s="427">
        <f>IFERROR('07a_ATC'!W39*'07c_ATC_Ajustado'!$L$36,0)</f>
        <v>0</v>
      </c>
      <c r="X39" s="427">
        <f>IFERROR('07a_ATC'!X39*'07c_ATC_Ajustado'!$L$36,0)</f>
        <v>0</v>
      </c>
      <c r="Y39" s="427">
        <f>IFERROR('07a_ATC'!Y39*'07c_ATC_Ajustado'!$L$36,0)</f>
        <v>0</v>
      </c>
      <c r="Z39" s="427">
        <f>IFERROR('07a_ATC'!Z39*'07c_ATC_Ajustado'!$L$36,0)</f>
        <v>0</v>
      </c>
      <c r="AA39" s="427">
        <f>IFERROR('07a_ATC'!AA39*'07c_ATC_Ajustado'!$L$36,0)</f>
        <v>0</v>
      </c>
      <c r="AB39" s="427">
        <f>IFERROR('07a_ATC'!AB39*'07c_ATC_Ajustado'!$L$36,0)</f>
        <v>0</v>
      </c>
      <c r="AC39" s="427">
        <f>IFERROR('07a_ATC'!AC39*'07c_ATC_Ajustado'!$L$36,0)</f>
        <v>0</v>
      </c>
      <c r="AD39" s="427">
        <f>IFERROR('07a_ATC'!AD39*'07c_ATC_Ajustado'!$L$36,0)</f>
        <v>0</v>
      </c>
      <c r="AE39" s="427">
        <f>IFERROR('07a_ATC'!AE39*'07c_ATC_Ajustado'!$L$36,0)</f>
        <v>0</v>
      </c>
      <c r="AF39" s="427">
        <f>IFERROR('07a_ATC'!AF39*'07c_ATC_Ajustado'!$L$36,0)</f>
        <v>0</v>
      </c>
      <c r="AG39" s="427">
        <f>IFERROR('07a_ATC'!AG39*'07c_ATC_Ajustado'!$L$36,0)</f>
        <v>0</v>
      </c>
      <c r="AH39" s="427">
        <f>IFERROR('07a_ATC'!AH39*'07c_ATC_Ajustado'!$L$36,0)</f>
        <v>0</v>
      </c>
      <c r="AI39" s="427">
        <f>IFERROR('07a_ATC'!AI39*'07c_ATC_Ajustado'!$L$36,0)</f>
        <v>0</v>
      </c>
      <c r="AJ39" s="427">
        <f>IFERROR('07a_ATC'!AJ39*'07c_ATC_Ajustado'!$L$36,0)</f>
        <v>0</v>
      </c>
      <c r="AK39" s="427">
        <f>IFERROR('07a_ATC'!AK39*'07c_ATC_Ajustado'!$L$36,0)</f>
        <v>0</v>
      </c>
      <c r="AL39" s="427">
        <f>IFERROR('07a_ATC'!AL39*'07c_ATC_Ajustado'!$L$36,0)</f>
        <v>0</v>
      </c>
      <c r="AM39" s="427">
        <f>IFERROR('07a_ATC'!AM39*'07c_ATC_Ajustado'!$L$36,0)</f>
        <v>0</v>
      </c>
      <c r="AN39" s="427">
        <f>IFERROR('07a_ATC'!AN39*'07c_ATC_Ajustado'!$L$36,0)</f>
        <v>0</v>
      </c>
      <c r="AO39" s="427">
        <f>IFERROR('07a_ATC'!AO39*'07c_ATC_Ajustado'!$L$36,0)</f>
        <v>0</v>
      </c>
      <c r="AP39" s="427">
        <f>IFERROR('07a_ATC'!AP39*'07c_ATC_Ajustado'!$L$36,0)</f>
        <v>0</v>
      </c>
      <c r="AQ39" s="427">
        <f>IFERROR('07a_ATC'!AQ39*'07c_ATC_Ajustado'!$L$36,0)</f>
        <v>0</v>
      </c>
      <c r="AR39" s="427">
        <f>IFERROR('07a_ATC'!AR39*'07c_ATC_Ajustado'!$L$36,0)</f>
        <v>0</v>
      </c>
      <c r="AS39" s="427">
        <f>IFERROR('07a_ATC'!AS39*'07c_ATC_Ajustado'!$L$36,0)</f>
        <v>0</v>
      </c>
      <c r="AT39" s="427">
        <f>IFERROR('07a_ATC'!AT39*'07c_ATC_Ajustado'!$L$36,0)</f>
        <v>0</v>
      </c>
      <c r="AU39" s="427">
        <f>IFERROR('07a_ATC'!AU39*'07c_ATC_Ajustado'!$L$36,0)</f>
        <v>0</v>
      </c>
      <c r="AV39" s="427">
        <f>IFERROR('07a_ATC'!AV39*'07c_ATC_Ajustado'!$L$36,0)</f>
        <v>0</v>
      </c>
      <c r="AW39" s="427">
        <f>IFERROR('07a_ATC'!AW39*'07c_ATC_Ajustado'!$L$36,0)</f>
        <v>0</v>
      </c>
      <c r="AX39" s="427">
        <f>IFERROR('07a_ATC'!AX39*'07c_ATC_Ajustado'!$L$36,0)</f>
        <v>0</v>
      </c>
      <c r="AY39" s="427">
        <f>IFERROR('07a_ATC'!AY39*'07c_ATC_Ajustado'!$L$36,0)</f>
        <v>0</v>
      </c>
      <c r="AZ39" s="427">
        <f>IFERROR('07a_ATC'!AZ39*'07c_ATC_Ajustado'!$L$36,0)</f>
        <v>0</v>
      </c>
      <c r="BA39" s="427">
        <f>IFERROR('07a_ATC'!BA39*'07c_ATC_Ajustado'!$L$36,0)</f>
        <v>0</v>
      </c>
      <c r="BB39" s="427">
        <f>IFERROR('07a_ATC'!BB39*'07c_ATC_Ajustado'!$L$36,0)</f>
        <v>0</v>
      </c>
      <c r="BC39" s="427">
        <f>IFERROR('07a_ATC'!BC39*'07c_ATC_Ajustado'!$L$36,0)</f>
        <v>0</v>
      </c>
      <c r="BD39" s="427">
        <f>IFERROR('07a_ATC'!BD39*'07c_ATC_Ajustado'!$L$36,0)</f>
        <v>0</v>
      </c>
      <c r="BE39" s="427">
        <f>IFERROR('07a_ATC'!BE39*'07c_ATC_Ajustado'!$L$36,0)</f>
        <v>0</v>
      </c>
      <c r="BF39" s="427">
        <f>IFERROR('07a_ATC'!BF39*'07c_ATC_Ajustado'!$L$36,0)</f>
        <v>0</v>
      </c>
    </row>
    <row r="40" spans="1:58">
      <c r="A40" s="450"/>
      <c r="B40" s="424"/>
      <c r="C40" s="424"/>
      <c r="D40" s="424"/>
      <c r="E40" s="424"/>
      <c r="F40" s="424"/>
      <c r="G40" s="424"/>
      <c r="H40" s="462"/>
      <c r="I40" s="424"/>
      <c r="J40" s="424"/>
      <c r="K40" s="459"/>
      <c r="L40" s="466" t="str">
        <f>'00_Datos_Mercado'!$B$6</f>
        <v>d_CS - Torre Empresarial (Oficinas + Hospedaje)</v>
      </c>
      <c r="M40" s="429">
        <f t="shared" si="14"/>
        <v>0</v>
      </c>
      <c r="N40" s="427">
        <f>IFERROR('07a_ATC'!N40*'07c_ATC_Ajustado'!$L$36,0)</f>
        <v>0</v>
      </c>
      <c r="O40" s="427">
        <f>IFERROR('07a_ATC'!O40*'07c_ATC_Ajustado'!$L$36,0)</f>
        <v>0</v>
      </c>
      <c r="P40" s="427">
        <f>IFERROR('07a_ATC'!P40*'07c_ATC_Ajustado'!$L$36,0)</f>
        <v>0</v>
      </c>
      <c r="Q40" s="427">
        <f>IFERROR('07a_ATC'!Q40*'07c_ATC_Ajustado'!$L$36,0)</f>
        <v>0</v>
      </c>
      <c r="R40" s="427">
        <f>IFERROR('07a_ATC'!R40*'07c_ATC_Ajustado'!$L$36,0)</f>
        <v>0</v>
      </c>
      <c r="S40" s="427">
        <f>IFERROR('07a_ATC'!S40*'07c_ATC_Ajustado'!$L$36,0)</f>
        <v>0</v>
      </c>
      <c r="T40" s="427">
        <f>IFERROR('07a_ATC'!T40*'07c_ATC_Ajustado'!$L$36,0)</f>
        <v>0</v>
      </c>
      <c r="U40" s="427">
        <f>IFERROR('07a_ATC'!U40*'07c_ATC_Ajustado'!$L$36,0)</f>
        <v>0</v>
      </c>
      <c r="V40" s="427">
        <f>IFERROR('07a_ATC'!V40*'07c_ATC_Ajustado'!$L$36,0)</f>
        <v>0</v>
      </c>
      <c r="W40" s="427">
        <f>IFERROR('07a_ATC'!W40*'07c_ATC_Ajustado'!$L$36,0)</f>
        <v>0</v>
      </c>
      <c r="X40" s="427">
        <f>IFERROR('07a_ATC'!X40*'07c_ATC_Ajustado'!$L$36,0)</f>
        <v>0</v>
      </c>
      <c r="Y40" s="427">
        <f>IFERROR('07a_ATC'!Y40*'07c_ATC_Ajustado'!$L$36,0)</f>
        <v>0</v>
      </c>
      <c r="Z40" s="427">
        <f>IFERROR('07a_ATC'!Z40*'07c_ATC_Ajustado'!$L$36,0)</f>
        <v>0</v>
      </c>
      <c r="AA40" s="427">
        <f>IFERROR('07a_ATC'!AA40*'07c_ATC_Ajustado'!$L$36,0)</f>
        <v>0</v>
      </c>
      <c r="AB40" s="427">
        <f>IFERROR('07a_ATC'!AB40*'07c_ATC_Ajustado'!$L$36,0)</f>
        <v>0</v>
      </c>
      <c r="AC40" s="427">
        <f>IFERROR('07a_ATC'!AC40*'07c_ATC_Ajustado'!$L$36,0)</f>
        <v>0</v>
      </c>
      <c r="AD40" s="427">
        <f>IFERROR('07a_ATC'!AD40*'07c_ATC_Ajustado'!$L$36,0)</f>
        <v>0</v>
      </c>
      <c r="AE40" s="427">
        <f>IFERROR('07a_ATC'!AE40*'07c_ATC_Ajustado'!$L$36,0)</f>
        <v>0</v>
      </c>
      <c r="AF40" s="427">
        <f>IFERROR('07a_ATC'!AF40*'07c_ATC_Ajustado'!$L$36,0)</f>
        <v>0</v>
      </c>
      <c r="AG40" s="427">
        <f>IFERROR('07a_ATC'!AG40*'07c_ATC_Ajustado'!$L$36,0)</f>
        <v>0</v>
      </c>
      <c r="AH40" s="427">
        <f>IFERROR('07a_ATC'!AH40*'07c_ATC_Ajustado'!$L$36,0)</f>
        <v>0</v>
      </c>
      <c r="AI40" s="427">
        <f>IFERROR('07a_ATC'!AI40*'07c_ATC_Ajustado'!$L$36,0)</f>
        <v>0</v>
      </c>
      <c r="AJ40" s="427">
        <f>IFERROR('07a_ATC'!AJ40*'07c_ATC_Ajustado'!$L$36,0)</f>
        <v>0</v>
      </c>
      <c r="AK40" s="427">
        <f>IFERROR('07a_ATC'!AK40*'07c_ATC_Ajustado'!$L$36,0)</f>
        <v>0</v>
      </c>
      <c r="AL40" s="427">
        <f>IFERROR('07a_ATC'!AL40*'07c_ATC_Ajustado'!$L$36,0)</f>
        <v>0</v>
      </c>
      <c r="AM40" s="427">
        <f>IFERROR('07a_ATC'!AM40*'07c_ATC_Ajustado'!$L$36,0)</f>
        <v>0</v>
      </c>
      <c r="AN40" s="427">
        <f>IFERROR('07a_ATC'!AN40*'07c_ATC_Ajustado'!$L$36,0)</f>
        <v>0</v>
      </c>
      <c r="AO40" s="427">
        <f>IFERROR('07a_ATC'!AO40*'07c_ATC_Ajustado'!$L$36,0)</f>
        <v>0</v>
      </c>
      <c r="AP40" s="427">
        <f>IFERROR('07a_ATC'!AP40*'07c_ATC_Ajustado'!$L$36,0)</f>
        <v>0</v>
      </c>
      <c r="AQ40" s="427">
        <f>IFERROR('07a_ATC'!AQ40*'07c_ATC_Ajustado'!$L$36,0)</f>
        <v>0</v>
      </c>
      <c r="AR40" s="427">
        <f>IFERROR('07a_ATC'!AR40*'07c_ATC_Ajustado'!$L$36,0)</f>
        <v>0</v>
      </c>
      <c r="AS40" s="427">
        <f>IFERROR('07a_ATC'!AS40*'07c_ATC_Ajustado'!$L$36,0)</f>
        <v>0</v>
      </c>
      <c r="AT40" s="427">
        <f>IFERROR('07a_ATC'!AT40*'07c_ATC_Ajustado'!$L$36,0)</f>
        <v>0</v>
      </c>
      <c r="AU40" s="427">
        <f>IFERROR('07a_ATC'!AU40*'07c_ATC_Ajustado'!$L$36,0)</f>
        <v>0</v>
      </c>
      <c r="AV40" s="427">
        <f>IFERROR('07a_ATC'!AV40*'07c_ATC_Ajustado'!$L$36,0)</f>
        <v>0</v>
      </c>
      <c r="AW40" s="427">
        <f>IFERROR('07a_ATC'!AW40*'07c_ATC_Ajustado'!$L$36,0)</f>
        <v>0</v>
      </c>
      <c r="AX40" s="427">
        <f>IFERROR('07a_ATC'!AX40*'07c_ATC_Ajustado'!$L$36,0)</f>
        <v>0</v>
      </c>
      <c r="AY40" s="427">
        <f>IFERROR('07a_ATC'!AY40*'07c_ATC_Ajustado'!$L$36,0)</f>
        <v>0</v>
      </c>
      <c r="AZ40" s="427">
        <f>IFERROR('07a_ATC'!AZ40*'07c_ATC_Ajustado'!$L$36,0)</f>
        <v>0</v>
      </c>
      <c r="BA40" s="427">
        <f>IFERROR('07a_ATC'!BA40*'07c_ATC_Ajustado'!$L$36,0)</f>
        <v>0</v>
      </c>
      <c r="BB40" s="427">
        <f>IFERROR('07a_ATC'!BB40*'07c_ATC_Ajustado'!$L$36,0)</f>
        <v>0</v>
      </c>
      <c r="BC40" s="427">
        <f>IFERROR('07a_ATC'!BC40*'07c_ATC_Ajustado'!$L$36,0)</f>
        <v>0</v>
      </c>
      <c r="BD40" s="427">
        <f>IFERROR('07a_ATC'!BD40*'07c_ATC_Ajustado'!$L$36,0)</f>
        <v>0</v>
      </c>
      <c r="BE40" s="427">
        <f>IFERROR('07a_ATC'!BE40*'07c_ATC_Ajustado'!$L$36,0)</f>
        <v>0</v>
      </c>
      <c r="BF40" s="427">
        <f>IFERROR('07a_ATC'!BF40*'07c_ATC_Ajustado'!$L$36,0)</f>
        <v>0</v>
      </c>
    </row>
    <row r="41" spans="1:58">
      <c r="A41" s="450"/>
      <c r="B41" s="424"/>
      <c r="C41" s="424"/>
      <c r="D41" s="424"/>
      <c r="E41" s="424"/>
      <c r="F41" s="424"/>
      <c r="G41" s="424"/>
      <c r="H41" s="462"/>
      <c r="I41" s="424"/>
      <c r="J41" s="424"/>
      <c r="K41" s="459"/>
      <c r="L41" s="467" t="str">
        <f>'00_Datos_Mercado'!$B$7</f>
        <v>e_CS - Innovation (H, CS, Gamers)</v>
      </c>
      <c r="M41" s="429">
        <f t="shared" si="14"/>
        <v>0</v>
      </c>
      <c r="N41" s="427">
        <f>IFERROR('07a_ATC'!N41*'07c_ATC_Ajustado'!$L$36,0)</f>
        <v>0</v>
      </c>
      <c r="O41" s="427">
        <f>IFERROR('07a_ATC'!O41*'07c_ATC_Ajustado'!$L$36,0)</f>
        <v>0</v>
      </c>
      <c r="P41" s="427">
        <f>IFERROR('07a_ATC'!P41*'07c_ATC_Ajustado'!$L$36,0)</f>
        <v>0</v>
      </c>
      <c r="Q41" s="427">
        <f>IFERROR('07a_ATC'!Q41*'07c_ATC_Ajustado'!$L$36,0)</f>
        <v>0</v>
      </c>
      <c r="R41" s="427">
        <f>IFERROR('07a_ATC'!R41*'07c_ATC_Ajustado'!$L$36,0)</f>
        <v>0</v>
      </c>
      <c r="S41" s="427">
        <f>IFERROR('07a_ATC'!S41*'07c_ATC_Ajustado'!$L$36,0)</f>
        <v>0</v>
      </c>
      <c r="T41" s="427">
        <f>IFERROR('07a_ATC'!T41*'07c_ATC_Ajustado'!$L$36,0)</f>
        <v>0</v>
      </c>
      <c r="U41" s="427">
        <f>IFERROR('07a_ATC'!U41*'07c_ATC_Ajustado'!$L$36,0)</f>
        <v>0</v>
      </c>
      <c r="V41" s="427">
        <f>IFERROR('07a_ATC'!V41*'07c_ATC_Ajustado'!$L$36,0)</f>
        <v>0</v>
      </c>
      <c r="W41" s="427">
        <f>IFERROR('07a_ATC'!W41*'07c_ATC_Ajustado'!$L$36,0)</f>
        <v>0</v>
      </c>
      <c r="X41" s="427">
        <f>IFERROR('07a_ATC'!X41*'07c_ATC_Ajustado'!$L$36,0)</f>
        <v>0</v>
      </c>
      <c r="Y41" s="427">
        <f>IFERROR('07a_ATC'!Y41*'07c_ATC_Ajustado'!$L$36,0)</f>
        <v>0</v>
      </c>
      <c r="Z41" s="427">
        <f>IFERROR('07a_ATC'!Z41*'07c_ATC_Ajustado'!$L$36,0)</f>
        <v>0</v>
      </c>
      <c r="AA41" s="427">
        <f>IFERROR('07a_ATC'!AA41*'07c_ATC_Ajustado'!$L$36,0)</f>
        <v>0</v>
      </c>
      <c r="AB41" s="427">
        <f>IFERROR('07a_ATC'!AB41*'07c_ATC_Ajustado'!$L$36,0)</f>
        <v>0</v>
      </c>
      <c r="AC41" s="427">
        <f>IFERROR('07a_ATC'!AC41*'07c_ATC_Ajustado'!$L$36,0)</f>
        <v>0</v>
      </c>
      <c r="AD41" s="427">
        <f>IFERROR('07a_ATC'!AD41*'07c_ATC_Ajustado'!$L$36,0)</f>
        <v>0</v>
      </c>
      <c r="AE41" s="427">
        <f>IFERROR('07a_ATC'!AE41*'07c_ATC_Ajustado'!$L$36,0)</f>
        <v>0</v>
      </c>
      <c r="AF41" s="427">
        <f>IFERROR('07a_ATC'!AF41*'07c_ATC_Ajustado'!$L$36,0)</f>
        <v>0</v>
      </c>
      <c r="AG41" s="427">
        <f>IFERROR('07a_ATC'!AG41*'07c_ATC_Ajustado'!$L$36,0)</f>
        <v>0</v>
      </c>
      <c r="AH41" s="427">
        <f>IFERROR('07a_ATC'!AH41*'07c_ATC_Ajustado'!$L$36,0)</f>
        <v>0</v>
      </c>
      <c r="AI41" s="427">
        <f>IFERROR('07a_ATC'!AI41*'07c_ATC_Ajustado'!$L$36,0)</f>
        <v>0</v>
      </c>
      <c r="AJ41" s="427">
        <f>IFERROR('07a_ATC'!AJ41*'07c_ATC_Ajustado'!$L$36,0)</f>
        <v>0</v>
      </c>
      <c r="AK41" s="427">
        <f>IFERROR('07a_ATC'!AK41*'07c_ATC_Ajustado'!$L$36,0)</f>
        <v>0</v>
      </c>
      <c r="AL41" s="427">
        <f>IFERROR('07a_ATC'!AL41*'07c_ATC_Ajustado'!$L$36,0)</f>
        <v>0</v>
      </c>
      <c r="AM41" s="427">
        <f>IFERROR('07a_ATC'!AM41*'07c_ATC_Ajustado'!$L$36,0)</f>
        <v>0</v>
      </c>
      <c r="AN41" s="427">
        <f>IFERROR('07a_ATC'!AN41*'07c_ATC_Ajustado'!$L$36,0)</f>
        <v>0</v>
      </c>
      <c r="AO41" s="427">
        <f>IFERROR('07a_ATC'!AO41*'07c_ATC_Ajustado'!$L$36,0)</f>
        <v>0</v>
      </c>
      <c r="AP41" s="427">
        <f>IFERROR('07a_ATC'!AP41*'07c_ATC_Ajustado'!$L$36,0)</f>
        <v>0</v>
      </c>
      <c r="AQ41" s="427">
        <f>IFERROR('07a_ATC'!AQ41*'07c_ATC_Ajustado'!$L$36,0)</f>
        <v>0</v>
      </c>
      <c r="AR41" s="427">
        <f>IFERROR('07a_ATC'!AR41*'07c_ATC_Ajustado'!$L$36,0)</f>
        <v>0</v>
      </c>
      <c r="AS41" s="427">
        <f>IFERROR('07a_ATC'!AS41*'07c_ATC_Ajustado'!$L$36,0)</f>
        <v>0</v>
      </c>
      <c r="AT41" s="427">
        <f>IFERROR('07a_ATC'!AT41*'07c_ATC_Ajustado'!$L$36,0)</f>
        <v>0</v>
      </c>
      <c r="AU41" s="427">
        <f>IFERROR('07a_ATC'!AU41*'07c_ATC_Ajustado'!$L$36,0)</f>
        <v>0</v>
      </c>
      <c r="AV41" s="427">
        <f>IFERROR('07a_ATC'!AV41*'07c_ATC_Ajustado'!$L$36,0)</f>
        <v>0</v>
      </c>
      <c r="AW41" s="427">
        <f>IFERROR('07a_ATC'!AW41*'07c_ATC_Ajustado'!$L$36,0)</f>
        <v>0</v>
      </c>
      <c r="AX41" s="427">
        <f>IFERROR('07a_ATC'!AX41*'07c_ATC_Ajustado'!$L$36,0)</f>
        <v>0</v>
      </c>
      <c r="AY41" s="427">
        <f>IFERROR('07a_ATC'!AY41*'07c_ATC_Ajustado'!$L$36,0)</f>
        <v>0</v>
      </c>
      <c r="AZ41" s="427">
        <f>IFERROR('07a_ATC'!AZ41*'07c_ATC_Ajustado'!$L$36,0)</f>
        <v>0</v>
      </c>
      <c r="BA41" s="427">
        <f>IFERROR('07a_ATC'!BA41*'07c_ATC_Ajustado'!$L$36,0)</f>
        <v>0</v>
      </c>
      <c r="BB41" s="427">
        <f>IFERROR('07a_ATC'!BB41*'07c_ATC_Ajustado'!$L$36,0)</f>
        <v>0</v>
      </c>
      <c r="BC41" s="427">
        <f>IFERROR('07a_ATC'!BC41*'07c_ATC_Ajustado'!$L$36,0)</f>
        <v>0</v>
      </c>
      <c r="BD41" s="427">
        <f>IFERROR('07a_ATC'!BD41*'07c_ATC_Ajustado'!$L$36,0)</f>
        <v>0</v>
      </c>
      <c r="BE41" s="427">
        <f>IFERROR('07a_ATC'!BE41*'07c_ATC_Ajustado'!$L$36,0)</f>
        <v>0</v>
      </c>
      <c r="BF41" s="427">
        <f>IFERROR('07a_ATC'!BF41*'07c_ATC_Ajustado'!$L$36,0)</f>
        <v>0</v>
      </c>
    </row>
    <row r="42" spans="1:58">
      <c r="A42" s="450"/>
      <c r="B42" s="424"/>
      <c r="C42" s="424"/>
      <c r="D42" s="424"/>
      <c r="E42" s="424"/>
      <c r="F42" s="424"/>
      <c r="G42" s="424"/>
      <c r="H42" s="462"/>
      <c r="I42" s="424"/>
      <c r="J42" s="424"/>
      <c r="K42" s="459"/>
      <c r="L42" s="468" t="str">
        <f>'00_Datos_Mercado'!$B$8</f>
        <v xml:space="preserve">f_RES - VIS Ru </v>
      </c>
      <c r="M42" s="429">
        <f t="shared" si="14"/>
        <v>30939.624561851466</v>
      </c>
      <c r="N42" s="427">
        <f>IFERROR('07a_ATC'!N42*'07c_ATC_Ajustado'!$L$36,0)</f>
        <v>0</v>
      </c>
      <c r="O42" s="427">
        <f>IFERROR('07a_ATC'!O42*'07c_ATC_Ajustado'!$L$36,0)</f>
        <v>0</v>
      </c>
      <c r="P42" s="427">
        <f>IFERROR('07a_ATC'!P42*'07c_ATC_Ajustado'!$L$36,0)</f>
        <v>0</v>
      </c>
      <c r="Q42" s="427">
        <f>IFERROR('07a_ATC'!Q42*'07c_ATC_Ajustado'!$L$36,0)</f>
        <v>0</v>
      </c>
      <c r="R42" s="427">
        <f>IFERROR('07a_ATC'!R42*'07c_ATC_Ajustado'!$L$36,0)</f>
        <v>0</v>
      </c>
      <c r="S42" s="427">
        <f>IFERROR('07a_ATC'!S42*'07c_ATC_Ajustado'!$L$36,0)</f>
        <v>7734.9061404628665</v>
      </c>
      <c r="T42" s="427">
        <f>IFERROR('07a_ATC'!T42*'07c_ATC_Ajustado'!$L$36,0)</f>
        <v>7734.9061404628665</v>
      </c>
      <c r="U42" s="427">
        <f>IFERROR('07a_ATC'!U42*'07c_ATC_Ajustado'!$L$36,0)</f>
        <v>7734.9061404628665</v>
      </c>
      <c r="V42" s="427">
        <f>IFERROR('07a_ATC'!V42*'07c_ATC_Ajustado'!$L$36,0)</f>
        <v>7734.9061404628665</v>
      </c>
      <c r="W42" s="427">
        <f>IFERROR('07a_ATC'!W42*'07c_ATC_Ajustado'!$L$36,0)</f>
        <v>0</v>
      </c>
      <c r="X42" s="427">
        <f>IFERROR('07a_ATC'!X42*'07c_ATC_Ajustado'!$L$36,0)</f>
        <v>0</v>
      </c>
      <c r="Y42" s="427">
        <f>IFERROR('07a_ATC'!Y42*'07c_ATC_Ajustado'!$L$36,0)</f>
        <v>0</v>
      </c>
      <c r="Z42" s="427">
        <f>IFERROR('07a_ATC'!Z42*'07c_ATC_Ajustado'!$L$36,0)</f>
        <v>0</v>
      </c>
      <c r="AA42" s="427">
        <f>IFERROR('07a_ATC'!AA42*'07c_ATC_Ajustado'!$L$36,0)</f>
        <v>0</v>
      </c>
      <c r="AB42" s="427">
        <f>IFERROR('07a_ATC'!AB42*'07c_ATC_Ajustado'!$L$36,0)</f>
        <v>0</v>
      </c>
      <c r="AC42" s="427">
        <f>IFERROR('07a_ATC'!AC42*'07c_ATC_Ajustado'!$L$36,0)</f>
        <v>0</v>
      </c>
      <c r="AD42" s="427">
        <f>IFERROR('07a_ATC'!AD42*'07c_ATC_Ajustado'!$L$36,0)</f>
        <v>0</v>
      </c>
      <c r="AE42" s="427">
        <f>IFERROR('07a_ATC'!AE42*'07c_ATC_Ajustado'!$L$36,0)</f>
        <v>0</v>
      </c>
      <c r="AF42" s="427">
        <f>IFERROR('07a_ATC'!AF42*'07c_ATC_Ajustado'!$L$36,0)</f>
        <v>0</v>
      </c>
      <c r="AG42" s="427">
        <f>IFERROR('07a_ATC'!AG42*'07c_ATC_Ajustado'!$L$36,0)</f>
        <v>0</v>
      </c>
      <c r="AH42" s="427">
        <f>IFERROR('07a_ATC'!AH42*'07c_ATC_Ajustado'!$L$36,0)</f>
        <v>0</v>
      </c>
      <c r="AI42" s="427">
        <f>IFERROR('07a_ATC'!AI42*'07c_ATC_Ajustado'!$L$36,0)</f>
        <v>0</v>
      </c>
      <c r="AJ42" s="427">
        <f>IFERROR('07a_ATC'!AJ42*'07c_ATC_Ajustado'!$L$36,0)</f>
        <v>0</v>
      </c>
      <c r="AK42" s="427">
        <f>IFERROR('07a_ATC'!AK42*'07c_ATC_Ajustado'!$L$36,0)</f>
        <v>0</v>
      </c>
      <c r="AL42" s="427">
        <f>IFERROR('07a_ATC'!AL42*'07c_ATC_Ajustado'!$L$36,0)</f>
        <v>0</v>
      </c>
      <c r="AM42" s="427">
        <f>IFERROR('07a_ATC'!AM42*'07c_ATC_Ajustado'!$L$36,0)</f>
        <v>0</v>
      </c>
      <c r="AN42" s="427">
        <f>IFERROR('07a_ATC'!AN42*'07c_ATC_Ajustado'!$L$36,0)</f>
        <v>0</v>
      </c>
      <c r="AO42" s="427">
        <f>IFERROR('07a_ATC'!AO42*'07c_ATC_Ajustado'!$L$36,0)</f>
        <v>0</v>
      </c>
      <c r="AP42" s="427">
        <f>IFERROR('07a_ATC'!AP42*'07c_ATC_Ajustado'!$L$36,0)</f>
        <v>0</v>
      </c>
      <c r="AQ42" s="427">
        <f>IFERROR('07a_ATC'!AQ42*'07c_ATC_Ajustado'!$L$36,0)</f>
        <v>0</v>
      </c>
      <c r="AR42" s="427">
        <f>IFERROR('07a_ATC'!AR42*'07c_ATC_Ajustado'!$L$36,0)</f>
        <v>0</v>
      </c>
      <c r="AS42" s="427">
        <f>IFERROR('07a_ATC'!AS42*'07c_ATC_Ajustado'!$L$36,0)</f>
        <v>0</v>
      </c>
      <c r="AT42" s="427">
        <f>IFERROR('07a_ATC'!AT42*'07c_ATC_Ajustado'!$L$36,0)</f>
        <v>0</v>
      </c>
      <c r="AU42" s="427">
        <f>IFERROR('07a_ATC'!AU42*'07c_ATC_Ajustado'!$L$36,0)</f>
        <v>0</v>
      </c>
      <c r="AV42" s="427">
        <f>IFERROR('07a_ATC'!AV42*'07c_ATC_Ajustado'!$L$36,0)</f>
        <v>0</v>
      </c>
      <c r="AW42" s="427">
        <f>IFERROR('07a_ATC'!AW42*'07c_ATC_Ajustado'!$L$36,0)</f>
        <v>0</v>
      </c>
      <c r="AX42" s="427">
        <f>IFERROR('07a_ATC'!AX42*'07c_ATC_Ajustado'!$L$36,0)</f>
        <v>0</v>
      </c>
      <c r="AY42" s="427">
        <f>IFERROR('07a_ATC'!AY42*'07c_ATC_Ajustado'!$L$36,0)</f>
        <v>0</v>
      </c>
      <c r="AZ42" s="427">
        <f>IFERROR('07a_ATC'!AZ42*'07c_ATC_Ajustado'!$L$36,0)</f>
        <v>0</v>
      </c>
      <c r="BA42" s="427">
        <f>IFERROR('07a_ATC'!BA42*'07c_ATC_Ajustado'!$L$36,0)</f>
        <v>0</v>
      </c>
      <c r="BB42" s="427">
        <f>IFERROR('07a_ATC'!BB42*'07c_ATC_Ajustado'!$L$36,0)</f>
        <v>0</v>
      </c>
      <c r="BC42" s="427">
        <f>IFERROR('07a_ATC'!BC42*'07c_ATC_Ajustado'!$L$36,0)</f>
        <v>0</v>
      </c>
      <c r="BD42" s="427">
        <f>IFERROR('07a_ATC'!BD42*'07c_ATC_Ajustado'!$L$36,0)</f>
        <v>0</v>
      </c>
      <c r="BE42" s="427">
        <f>IFERROR('07a_ATC'!BE42*'07c_ATC_Ajustado'!$L$36,0)</f>
        <v>0</v>
      </c>
      <c r="BF42" s="427">
        <f>IFERROR('07a_ATC'!BF42*'07c_ATC_Ajustado'!$L$36,0)</f>
        <v>0</v>
      </c>
    </row>
    <row r="43" spans="1:58">
      <c r="A43" s="450"/>
      <c r="B43" s="424"/>
      <c r="C43" s="424"/>
      <c r="D43" s="424"/>
      <c r="E43" s="424"/>
      <c r="F43" s="424"/>
      <c r="G43" s="424"/>
      <c r="H43" s="462"/>
      <c r="I43" s="424"/>
      <c r="J43" s="424"/>
      <c r="K43" s="459"/>
      <c r="L43" s="469" t="str">
        <f>'00_Datos_Mercado'!$B$10</f>
        <v>i_RES - No VIS</v>
      </c>
      <c r="M43" s="429">
        <f t="shared" si="14"/>
        <v>208842.46579249753</v>
      </c>
      <c r="N43" s="427">
        <f>IFERROR('07a_ATC'!N43*'07c_ATC_Ajustado'!$L$36,0)</f>
        <v>0</v>
      </c>
      <c r="O43" s="427">
        <f>IFERROR('07a_ATC'!O43*'07c_ATC_Ajustado'!$L$36,0)</f>
        <v>0</v>
      </c>
      <c r="P43" s="427">
        <f>IFERROR('07a_ATC'!P43*'07c_ATC_Ajustado'!$L$36,0)</f>
        <v>0</v>
      </c>
      <c r="Q43" s="427">
        <f>IFERROR('07a_ATC'!Q43*'07c_ATC_Ajustado'!$L$36,0)</f>
        <v>0</v>
      </c>
      <c r="R43" s="427">
        <f>IFERROR('07a_ATC'!R43*'07c_ATC_Ajustado'!$L$36,0)</f>
        <v>0</v>
      </c>
      <c r="S43" s="427">
        <f>IFERROR('07a_ATC'!S43*'07c_ATC_Ajustado'!$L$36,0)</f>
        <v>0</v>
      </c>
      <c r="T43" s="427">
        <f>IFERROR('07a_ATC'!T43*'07c_ATC_Ajustado'!$L$36,0)</f>
        <v>0</v>
      </c>
      <c r="U43" s="427">
        <f>IFERROR('07a_ATC'!U43*'07c_ATC_Ajustado'!$L$36,0)</f>
        <v>0</v>
      </c>
      <c r="V43" s="427">
        <f>IFERROR('07a_ATC'!V43*'07c_ATC_Ajustado'!$L$36,0)</f>
        <v>0</v>
      </c>
      <c r="W43" s="427">
        <f>IFERROR('07a_ATC'!W43*'07c_ATC_Ajustado'!$L$36,0)</f>
        <v>7734.9061404628665</v>
      </c>
      <c r="X43" s="427">
        <f>IFERROR('07a_ATC'!X43*'07c_ATC_Ajustado'!$L$36,0)</f>
        <v>7734.9061404628665</v>
      </c>
      <c r="Y43" s="427">
        <f>IFERROR('07a_ATC'!Y43*'07c_ATC_Ajustado'!$L$36,0)</f>
        <v>7734.9061404628665</v>
      </c>
      <c r="Z43" s="427">
        <f>IFERROR('07a_ATC'!Z43*'07c_ATC_Ajustado'!$L$36,0)</f>
        <v>7734.9061404628665</v>
      </c>
      <c r="AA43" s="427">
        <f>IFERROR('07a_ATC'!AA43*'07c_ATC_Ajustado'!$L$36,0)</f>
        <v>7734.9061404628665</v>
      </c>
      <c r="AB43" s="427">
        <f>IFERROR('07a_ATC'!AB43*'07c_ATC_Ajustado'!$L$36,0)</f>
        <v>7734.9061404628665</v>
      </c>
      <c r="AC43" s="427">
        <f>IFERROR('07a_ATC'!AC43*'07c_ATC_Ajustado'!$L$36,0)</f>
        <v>7734.9061404628665</v>
      </c>
      <c r="AD43" s="427">
        <f>IFERROR('07a_ATC'!AD43*'07c_ATC_Ajustado'!$L$36,0)</f>
        <v>7734.9061404628665</v>
      </c>
      <c r="AE43" s="427">
        <f>IFERROR('07a_ATC'!AE43*'07c_ATC_Ajustado'!$L$36,0)</f>
        <v>7734.9061404628665</v>
      </c>
      <c r="AF43" s="427">
        <f>IFERROR('07a_ATC'!AF43*'07c_ATC_Ajustado'!$L$36,0)</f>
        <v>7734.9061404628665</v>
      </c>
      <c r="AG43" s="427">
        <f>IFERROR('07a_ATC'!AG43*'07c_ATC_Ajustado'!$L$36,0)</f>
        <v>7734.9061404628665</v>
      </c>
      <c r="AH43" s="427">
        <f>IFERROR('07a_ATC'!AH43*'07c_ATC_Ajustado'!$L$36,0)</f>
        <v>7734.9061404628665</v>
      </c>
      <c r="AI43" s="427">
        <f>IFERROR('07a_ATC'!AI43*'07c_ATC_Ajustado'!$L$36,0)</f>
        <v>7734.9061404628665</v>
      </c>
      <c r="AJ43" s="427">
        <f>IFERROR('07a_ATC'!AJ43*'07c_ATC_Ajustado'!$L$36,0)</f>
        <v>7734.9061404628665</v>
      </c>
      <c r="AK43" s="427">
        <f>IFERROR('07a_ATC'!AK43*'07c_ATC_Ajustado'!$L$36,0)</f>
        <v>7734.9061404628665</v>
      </c>
      <c r="AL43" s="427">
        <f>IFERROR('07a_ATC'!AL43*'07c_ATC_Ajustado'!$L$36,0)</f>
        <v>7734.9061404628665</v>
      </c>
      <c r="AM43" s="427">
        <f>IFERROR('07a_ATC'!AM43*'07c_ATC_Ajustado'!$L$36,0)</f>
        <v>7734.9061404628665</v>
      </c>
      <c r="AN43" s="427">
        <f>IFERROR('07a_ATC'!AN43*'07c_ATC_Ajustado'!$L$36,0)</f>
        <v>7734.9061404628665</v>
      </c>
      <c r="AO43" s="427">
        <f>IFERROR('07a_ATC'!AO43*'07c_ATC_Ajustado'!$L$36,0)</f>
        <v>7734.9061404628665</v>
      </c>
      <c r="AP43" s="427">
        <f>IFERROR('07a_ATC'!AP43*'07c_ATC_Ajustado'!$L$36,0)</f>
        <v>7734.9061404628665</v>
      </c>
      <c r="AQ43" s="427">
        <f>IFERROR('07a_ATC'!AQ43*'07c_ATC_Ajustado'!$L$36,0)</f>
        <v>7734.9061404628665</v>
      </c>
      <c r="AR43" s="427">
        <f>IFERROR('07a_ATC'!AR43*'07c_ATC_Ajustado'!$L$36,0)</f>
        <v>7734.9061404628665</v>
      </c>
      <c r="AS43" s="427">
        <f>IFERROR('07a_ATC'!AS43*'07c_ATC_Ajustado'!$L$36,0)</f>
        <v>7734.9061404628665</v>
      </c>
      <c r="AT43" s="427">
        <f>IFERROR('07a_ATC'!AT43*'07c_ATC_Ajustado'!$L$36,0)</f>
        <v>7734.9061404628665</v>
      </c>
      <c r="AU43" s="427">
        <f>IFERROR('07a_ATC'!AU43*'07c_ATC_Ajustado'!$L$36,0)</f>
        <v>7734.9061404628665</v>
      </c>
      <c r="AV43" s="427">
        <f>IFERROR('07a_ATC'!AV43*'07c_ATC_Ajustado'!$L$36,0)</f>
        <v>7734.9061404628665</v>
      </c>
      <c r="AW43" s="427">
        <f>IFERROR('07a_ATC'!AW43*'07c_ATC_Ajustado'!$L$36,0)</f>
        <v>7734.9061404628665</v>
      </c>
      <c r="AX43" s="427">
        <f>IFERROR('07a_ATC'!AX43*'07c_ATC_Ajustado'!$L$36,0)</f>
        <v>0</v>
      </c>
      <c r="AY43" s="427">
        <f>IFERROR('07a_ATC'!AY43*'07c_ATC_Ajustado'!$L$36,0)</f>
        <v>0</v>
      </c>
      <c r="AZ43" s="427">
        <f>IFERROR('07a_ATC'!AZ43*'07c_ATC_Ajustado'!$L$36,0)</f>
        <v>0</v>
      </c>
      <c r="BA43" s="427">
        <f>IFERROR('07a_ATC'!BA43*'07c_ATC_Ajustado'!$L$36,0)</f>
        <v>0</v>
      </c>
      <c r="BB43" s="427">
        <f>IFERROR('07a_ATC'!BB43*'07c_ATC_Ajustado'!$L$36,0)</f>
        <v>0</v>
      </c>
      <c r="BC43" s="427">
        <f>IFERROR('07a_ATC'!BC43*'07c_ATC_Ajustado'!$L$36,0)</f>
        <v>0</v>
      </c>
      <c r="BD43" s="427">
        <f>IFERROR('07a_ATC'!BD43*'07c_ATC_Ajustado'!$L$36,0)</f>
        <v>0</v>
      </c>
      <c r="BE43" s="427">
        <f>IFERROR('07a_ATC'!BE43*'07c_ATC_Ajustado'!$L$36,0)</f>
        <v>0</v>
      </c>
      <c r="BF43" s="427">
        <f>IFERROR('07a_ATC'!BF43*'07c_ATC_Ajustado'!$L$36,0)</f>
        <v>0</v>
      </c>
    </row>
    <row r="44" spans="1:58">
      <c r="A44" s="450"/>
      <c r="B44" s="424"/>
      <c r="C44" s="424"/>
      <c r="D44" s="424"/>
      <c r="E44" s="424"/>
      <c r="F44" s="424"/>
      <c r="G44" s="424"/>
      <c r="H44" s="462"/>
      <c r="I44" s="424"/>
      <c r="J44" s="424"/>
      <c r="K44" s="459"/>
      <c r="L44" s="470" t="s">
        <v>697</v>
      </c>
      <c r="M44" s="471">
        <f t="shared" ref="M44" si="15">SUM(N44:BF44)</f>
        <v>15469.812280925733</v>
      </c>
      <c r="N44" s="472">
        <f>IFERROR('07a_ATC'!N44*'07c_ATC_Ajustado'!$L$36,0)</f>
        <v>0</v>
      </c>
      <c r="O44" s="472">
        <f>IFERROR('07a_ATC'!O44*'07c_ATC_Ajustado'!$L$36,0)</f>
        <v>0</v>
      </c>
      <c r="P44" s="472">
        <f>IFERROR('07a_ATC'!P44*'07c_ATC_Ajustado'!$L$36,0)</f>
        <v>0</v>
      </c>
      <c r="Q44" s="472">
        <f>IFERROR('07a_ATC'!Q44*'07c_ATC_Ajustado'!$L$36,0)</f>
        <v>0</v>
      </c>
      <c r="R44" s="472">
        <f>IFERROR('07a_ATC'!R44*'07c_ATC_Ajustado'!$L$36,0)</f>
        <v>7734.9061404628665</v>
      </c>
      <c r="S44" s="472">
        <f>IFERROR('07a_ATC'!S44*'07c_ATC_Ajustado'!$L$36,0)</f>
        <v>0</v>
      </c>
      <c r="T44" s="472">
        <f>IFERROR('07a_ATC'!T44*'07c_ATC_Ajustado'!$L$36,0)</f>
        <v>0</v>
      </c>
      <c r="U44" s="472">
        <f>IFERROR('07a_ATC'!U44*'07c_ATC_Ajustado'!$L$36,0)</f>
        <v>0</v>
      </c>
      <c r="V44" s="472">
        <f>IFERROR('07a_ATC'!V44*'07c_ATC_Ajustado'!$L$36,0)</f>
        <v>0</v>
      </c>
      <c r="W44" s="472">
        <f>IFERROR('07a_ATC'!W44*'07c_ATC_Ajustado'!$L$36,0)</f>
        <v>0</v>
      </c>
      <c r="X44" s="472">
        <f>IFERROR('07a_ATC'!X44*'07c_ATC_Ajustado'!$L$36,0)</f>
        <v>0</v>
      </c>
      <c r="Y44" s="472">
        <f>IFERROR('07a_ATC'!Y44*'07c_ATC_Ajustado'!$L$36,0)</f>
        <v>0</v>
      </c>
      <c r="Z44" s="472">
        <f>IFERROR('07a_ATC'!Z44*'07c_ATC_Ajustado'!$L$36,0)</f>
        <v>0</v>
      </c>
      <c r="AA44" s="472">
        <f>IFERROR('07a_ATC'!AA44*'07c_ATC_Ajustado'!$L$36,0)</f>
        <v>0</v>
      </c>
      <c r="AB44" s="472">
        <f>IFERROR('07a_ATC'!AB44*'07c_ATC_Ajustado'!$L$36,0)</f>
        <v>0</v>
      </c>
      <c r="AC44" s="472">
        <f>IFERROR('07a_ATC'!AC44*'07c_ATC_Ajustado'!$L$36,0)</f>
        <v>0</v>
      </c>
      <c r="AD44" s="472">
        <f>IFERROR('07a_ATC'!AD44*'07c_ATC_Ajustado'!$L$36,0)</f>
        <v>0</v>
      </c>
      <c r="AE44" s="472">
        <f>IFERROR('07a_ATC'!AE44*'07c_ATC_Ajustado'!$L$36,0)</f>
        <v>0</v>
      </c>
      <c r="AF44" s="472">
        <f>IFERROR('07a_ATC'!AF44*'07c_ATC_Ajustado'!$L$36,0)</f>
        <v>0</v>
      </c>
      <c r="AG44" s="472">
        <f>IFERROR('07a_ATC'!AG44*'07c_ATC_Ajustado'!$L$36,0)</f>
        <v>0</v>
      </c>
      <c r="AH44" s="472">
        <f>IFERROR('07a_ATC'!AH44*'07c_ATC_Ajustado'!$L$36,0)</f>
        <v>0</v>
      </c>
      <c r="AI44" s="472">
        <f>IFERROR('07a_ATC'!AI44*'07c_ATC_Ajustado'!$L$36,0)</f>
        <v>0</v>
      </c>
      <c r="AJ44" s="472">
        <f>IFERROR('07a_ATC'!AJ44*'07c_ATC_Ajustado'!$L$36,0)</f>
        <v>0</v>
      </c>
      <c r="AK44" s="472">
        <f>IFERROR('07a_ATC'!AK44*'07c_ATC_Ajustado'!$L$36,0)</f>
        <v>0</v>
      </c>
      <c r="AL44" s="472">
        <f>IFERROR('07a_ATC'!AL44*'07c_ATC_Ajustado'!$L$36,0)</f>
        <v>0</v>
      </c>
      <c r="AM44" s="472">
        <f>IFERROR('07a_ATC'!AM44*'07c_ATC_Ajustado'!$L$36,0)</f>
        <v>0</v>
      </c>
      <c r="AN44" s="472">
        <f>IFERROR('07a_ATC'!AN44*'07c_ATC_Ajustado'!$L$36,0)</f>
        <v>0</v>
      </c>
      <c r="AO44" s="472">
        <f>IFERROR('07a_ATC'!AO44*'07c_ATC_Ajustado'!$L$36,0)</f>
        <v>0</v>
      </c>
      <c r="AP44" s="472">
        <f>IFERROR('07a_ATC'!AP44*'07c_ATC_Ajustado'!$L$36,0)</f>
        <v>0</v>
      </c>
      <c r="AQ44" s="472">
        <f>IFERROR('07a_ATC'!AQ44*'07c_ATC_Ajustado'!$L$36,0)</f>
        <v>0</v>
      </c>
      <c r="AR44" s="472">
        <f>IFERROR('07a_ATC'!AR44*'07c_ATC_Ajustado'!$L$36,0)</f>
        <v>0</v>
      </c>
      <c r="AS44" s="472">
        <f>IFERROR('07a_ATC'!AS44*'07c_ATC_Ajustado'!$L$36,0)</f>
        <v>0</v>
      </c>
      <c r="AT44" s="472">
        <f>IFERROR('07a_ATC'!AT44*'07c_ATC_Ajustado'!$L$36,0)</f>
        <v>0</v>
      </c>
      <c r="AU44" s="472">
        <f>IFERROR('07a_ATC'!AU44*'07c_ATC_Ajustado'!$L$36,0)</f>
        <v>0</v>
      </c>
      <c r="AV44" s="472">
        <f>IFERROR('07a_ATC'!AV44*'07c_ATC_Ajustado'!$L$36,0)</f>
        <v>0</v>
      </c>
      <c r="AW44" s="472">
        <f>IFERROR('07a_ATC'!AW44*'07c_ATC_Ajustado'!$L$36,0)</f>
        <v>0</v>
      </c>
      <c r="AX44" s="472">
        <f>IFERROR('07a_ATC'!AX44*'07c_ATC_Ajustado'!$L$36,0)</f>
        <v>7734.9061404628665</v>
      </c>
      <c r="AY44" s="472">
        <f>IFERROR('07a_ATC'!AY44*'07c_ATC_Ajustado'!$L$36,0)</f>
        <v>0</v>
      </c>
      <c r="AZ44" s="472">
        <f>IFERROR('07a_ATC'!AZ44*'07c_ATC_Ajustado'!$L$36,0)</f>
        <v>0</v>
      </c>
      <c r="BA44" s="472">
        <f>IFERROR('07a_ATC'!BA44*'07c_ATC_Ajustado'!$L$36,0)</f>
        <v>0</v>
      </c>
      <c r="BB44" s="472">
        <f>IFERROR('07a_ATC'!BB44*'07c_ATC_Ajustado'!$L$36,0)</f>
        <v>0</v>
      </c>
      <c r="BC44" s="472">
        <f>IFERROR('07a_ATC'!BC44*'07c_ATC_Ajustado'!$L$36,0)</f>
        <v>0</v>
      </c>
      <c r="BD44" s="472">
        <f>IFERROR('07a_ATC'!BD44*'07c_ATC_Ajustado'!$L$36,0)</f>
        <v>0</v>
      </c>
      <c r="BE44" s="472">
        <f>IFERROR('07a_ATC'!BE44*'07c_ATC_Ajustado'!$L$36,0)</f>
        <v>0</v>
      </c>
      <c r="BF44" s="472">
        <f>IFERROR('07a_ATC'!BF44*'07c_ATC_Ajustado'!$L$36,0)</f>
        <v>0</v>
      </c>
    </row>
    <row r="45" spans="1:58" s="456" customFormat="1" ht="15.6">
      <c r="A45" s="450">
        <v>5</v>
      </c>
      <c r="B45" s="452">
        <f>SUMIF('04a_PROPUESTA_MO'!$R$9:$R$42,'07c_ATC_Ajustado'!A45,'04a_PROPUESTA_MO'!$T$9:$T$42)</f>
        <v>27038.024665190002</v>
      </c>
      <c r="C45" s="452">
        <f>SUMIF('04a_PROPUESTA_MO'!$R$9:$R$42,'07c_ATC_Ajustado'!A45,'04a_PROPUESTA_MO'!$AH$9:$AH$42)</f>
        <v>2870.317660930994</v>
      </c>
      <c r="D45" s="452">
        <f>SUMIF('04a_PROPUESTA_MO'!$R$9:$R$42,'07c_ATC_Ajustado'!A45,'04a_PROPUESTA_MO'!$AI$9:$AI$42)</f>
        <v>13279.248504517975</v>
      </c>
      <c r="E45" s="452">
        <f>SUMIF('04a_PROPUESTA_MO'!$R$9:$R$42,'07c_ATC_Ajustado'!A45,'04a_PROPUESTA_MO'!$AJ$9:$AJ$42)</f>
        <v>2806.2957185564351</v>
      </c>
      <c r="F45" s="452">
        <f t="shared" si="4"/>
        <v>18955.861884005404</v>
      </c>
      <c r="G45" s="452">
        <f t="shared" si="5"/>
        <v>8082.1627811845974</v>
      </c>
      <c r="H45" s="453">
        <f>G45/$G$7</f>
        <v>0.14014051790049575</v>
      </c>
      <c r="I45" s="452">
        <f t="shared" si="6"/>
        <v>2084.0473711146669</v>
      </c>
      <c r="J45" s="452">
        <f>SUMIF('04a_PROPUESTA_MO'!$R$9:$R$42,'07c_ATC_Ajustado'!A45,'04a_PROPUESTA_MO'!$AN$9:$AN$42)</f>
        <v>5998.1154100699305</v>
      </c>
      <c r="K45" s="454">
        <f t="shared" si="7"/>
        <v>0.13648196438103818</v>
      </c>
      <c r="L45" s="460">
        <f>1+'07b_ATC_Ajuste'!$E$9</f>
        <v>1.055142373501837</v>
      </c>
      <c r="M45" s="461">
        <f>SUM(M46:M52)</f>
        <v>213243.93603916175</v>
      </c>
      <c r="N45" s="461">
        <f t="shared" ref="N45:BF45" si="16">SUM(N46:N52)</f>
        <v>5998.1150935272181</v>
      </c>
      <c r="O45" s="461">
        <f t="shared" si="16"/>
        <v>6513.6365543727452</v>
      </c>
      <c r="P45" s="461">
        <f t="shared" si="16"/>
        <v>6513.6260029490104</v>
      </c>
      <c r="Q45" s="461">
        <f t="shared" si="16"/>
        <v>6513.6260029490104</v>
      </c>
      <c r="R45" s="461">
        <f t="shared" si="16"/>
        <v>0</v>
      </c>
      <c r="S45" s="461">
        <f t="shared" si="16"/>
        <v>6054.9978188827026</v>
      </c>
      <c r="T45" s="461">
        <f t="shared" si="16"/>
        <v>6054.9978188827026</v>
      </c>
      <c r="U45" s="461">
        <f t="shared" si="16"/>
        <v>6054.9978188827026</v>
      </c>
      <c r="V45" s="461">
        <f t="shared" si="16"/>
        <v>6054.9978188827026</v>
      </c>
      <c r="W45" s="461">
        <f t="shared" si="16"/>
        <v>6054.9978188827026</v>
      </c>
      <c r="X45" s="461">
        <f t="shared" si="16"/>
        <v>6054.9978188827026</v>
      </c>
      <c r="Y45" s="461">
        <f t="shared" si="16"/>
        <v>6054.9978188827026</v>
      </c>
      <c r="Z45" s="461">
        <f t="shared" si="16"/>
        <v>6054.9978188827026</v>
      </c>
      <c r="AA45" s="461">
        <f t="shared" si="16"/>
        <v>6054.9978188827026</v>
      </c>
      <c r="AB45" s="461">
        <f t="shared" si="16"/>
        <v>6054.9978188827026</v>
      </c>
      <c r="AC45" s="461">
        <f t="shared" si="16"/>
        <v>6054.9978188827026</v>
      </c>
      <c r="AD45" s="461">
        <f t="shared" si="16"/>
        <v>6054.9978188827026</v>
      </c>
      <c r="AE45" s="461">
        <f t="shared" si="16"/>
        <v>6054.9978188827026</v>
      </c>
      <c r="AF45" s="461">
        <f t="shared" si="16"/>
        <v>6054.9978188827026</v>
      </c>
      <c r="AG45" s="461">
        <f t="shared" si="16"/>
        <v>6054.9978188827026</v>
      </c>
      <c r="AH45" s="461">
        <f t="shared" si="16"/>
        <v>6054.9978188827026</v>
      </c>
      <c r="AI45" s="461">
        <f t="shared" si="16"/>
        <v>6054.9978188827026</v>
      </c>
      <c r="AJ45" s="461">
        <f t="shared" si="16"/>
        <v>6054.9978188827026</v>
      </c>
      <c r="AK45" s="461">
        <f t="shared" si="16"/>
        <v>6054.9978188827026</v>
      </c>
      <c r="AL45" s="461">
        <f t="shared" si="16"/>
        <v>6054.9978188827026</v>
      </c>
      <c r="AM45" s="461">
        <f t="shared" si="16"/>
        <v>6054.9978188827026</v>
      </c>
      <c r="AN45" s="461">
        <f t="shared" si="16"/>
        <v>6054.9978188827026</v>
      </c>
      <c r="AO45" s="461">
        <f t="shared" si="16"/>
        <v>6054.9978188827026</v>
      </c>
      <c r="AP45" s="461">
        <f t="shared" si="16"/>
        <v>6054.9978188827026</v>
      </c>
      <c r="AQ45" s="461">
        <f t="shared" si="16"/>
        <v>6054.9978188827026</v>
      </c>
      <c r="AR45" s="461">
        <f t="shared" si="16"/>
        <v>6054.9978188827026</v>
      </c>
      <c r="AS45" s="461">
        <f t="shared" si="16"/>
        <v>6054.9978188827026</v>
      </c>
      <c r="AT45" s="461">
        <f t="shared" si="16"/>
        <v>6054.9978188827026</v>
      </c>
      <c r="AU45" s="461">
        <f t="shared" si="16"/>
        <v>6054.9978188827026</v>
      </c>
      <c r="AV45" s="461">
        <f t="shared" si="16"/>
        <v>6054.9978188827026</v>
      </c>
      <c r="AW45" s="461">
        <f t="shared" si="16"/>
        <v>6054.9978188827026</v>
      </c>
      <c r="AX45" s="461">
        <f t="shared" si="16"/>
        <v>0</v>
      </c>
      <c r="AY45" s="461">
        <f t="shared" si="16"/>
        <v>0</v>
      </c>
      <c r="AZ45" s="461">
        <f t="shared" si="16"/>
        <v>0</v>
      </c>
      <c r="BA45" s="461">
        <f t="shared" si="16"/>
        <v>0</v>
      </c>
      <c r="BB45" s="461">
        <f t="shared" si="16"/>
        <v>0</v>
      </c>
      <c r="BC45" s="461">
        <f t="shared" si="16"/>
        <v>0</v>
      </c>
      <c r="BD45" s="461">
        <f t="shared" si="16"/>
        <v>0</v>
      </c>
      <c r="BE45" s="461">
        <f t="shared" si="16"/>
        <v>0</v>
      </c>
      <c r="BF45" s="461">
        <f t="shared" si="16"/>
        <v>0</v>
      </c>
    </row>
    <row r="46" spans="1:58">
      <c r="A46" s="450"/>
      <c r="B46" s="424"/>
      <c r="C46" s="424"/>
      <c r="D46" s="424"/>
      <c r="E46" s="424"/>
      <c r="F46" s="424"/>
      <c r="G46" s="424"/>
      <c r="H46" s="462"/>
      <c r="I46" s="424"/>
      <c r="J46" s="424"/>
      <c r="K46" s="459"/>
      <c r="L46" s="463" t="str">
        <f>'00_Datos_Mercado'!$B$3</f>
        <v xml:space="preserve">a_CS - Creativos </v>
      </c>
      <c r="M46" s="429">
        <f t="shared" ref="M46:M52" si="17">SUM(N46:BF46)</f>
        <v>5374.6842221436582</v>
      </c>
      <c r="N46" s="427">
        <f>IFERROR('07a_ATC'!N46*'07c_ATC_Ajustado'!$L$45,0)</f>
        <v>2570.4850932065006</v>
      </c>
      <c r="O46" s="427">
        <f>IFERROR('07a_ATC'!O46*'07c_ATC_Ajustado'!$L$45,0)</f>
        <v>2804.1991289371572</v>
      </c>
      <c r="P46" s="427">
        <f>IFERROR('07a_ATC'!P46*'07c_ATC_Ajustado'!$L$45,0)</f>
        <v>0</v>
      </c>
      <c r="Q46" s="427">
        <f>IFERROR('07a_ATC'!Q46*'07c_ATC_Ajustado'!$L$45,0)</f>
        <v>0</v>
      </c>
      <c r="R46" s="427">
        <f>IFERROR('07a_ATC'!R46*'07c_ATC_Ajustado'!$L$45,0)</f>
        <v>0</v>
      </c>
      <c r="S46" s="427">
        <f>IFERROR('07a_ATC'!S46*'07c_ATC_Ajustado'!$L$45,0)</f>
        <v>0</v>
      </c>
      <c r="T46" s="427">
        <f>IFERROR('07a_ATC'!T46*'07c_ATC_Ajustado'!$L$45,0)</f>
        <v>0</v>
      </c>
      <c r="U46" s="427">
        <f>IFERROR('07a_ATC'!U46*'07c_ATC_Ajustado'!$L$45,0)</f>
        <v>0</v>
      </c>
      <c r="V46" s="427">
        <f>IFERROR('07a_ATC'!V46*'07c_ATC_Ajustado'!$L$45,0)</f>
        <v>0</v>
      </c>
      <c r="W46" s="427">
        <f>IFERROR('07a_ATC'!W46*'07c_ATC_Ajustado'!$L$45,0)</f>
        <v>0</v>
      </c>
      <c r="X46" s="427">
        <f>IFERROR('07a_ATC'!X46*'07c_ATC_Ajustado'!$L$45,0)</f>
        <v>0</v>
      </c>
      <c r="Y46" s="427">
        <f>IFERROR('07a_ATC'!Y46*'07c_ATC_Ajustado'!$L$45,0)</f>
        <v>0</v>
      </c>
      <c r="Z46" s="427">
        <f>IFERROR('07a_ATC'!Z46*'07c_ATC_Ajustado'!$L$45,0)</f>
        <v>0</v>
      </c>
      <c r="AA46" s="427">
        <f>IFERROR('07a_ATC'!AA46*'07c_ATC_Ajustado'!$L$45,0)</f>
        <v>0</v>
      </c>
      <c r="AB46" s="427">
        <f>IFERROR('07a_ATC'!AB46*'07c_ATC_Ajustado'!$L$45,0)</f>
        <v>0</v>
      </c>
      <c r="AC46" s="427">
        <f>IFERROR('07a_ATC'!AC46*'07c_ATC_Ajustado'!$L$45,0)</f>
        <v>0</v>
      </c>
      <c r="AD46" s="427">
        <f>IFERROR('07a_ATC'!AD46*'07c_ATC_Ajustado'!$L$45,0)</f>
        <v>0</v>
      </c>
      <c r="AE46" s="427">
        <f>IFERROR('07a_ATC'!AE46*'07c_ATC_Ajustado'!$L$45,0)</f>
        <v>0</v>
      </c>
      <c r="AF46" s="427">
        <f>IFERROR('07a_ATC'!AF46*'07c_ATC_Ajustado'!$L$45,0)</f>
        <v>0</v>
      </c>
      <c r="AG46" s="427">
        <f>IFERROR('07a_ATC'!AG46*'07c_ATC_Ajustado'!$L$45,0)</f>
        <v>0</v>
      </c>
      <c r="AH46" s="427">
        <f>IFERROR('07a_ATC'!AH46*'07c_ATC_Ajustado'!$L$45,0)</f>
        <v>0</v>
      </c>
      <c r="AI46" s="427">
        <f>IFERROR('07a_ATC'!AI46*'07c_ATC_Ajustado'!$L$45,0)</f>
        <v>0</v>
      </c>
      <c r="AJ46" s="427">
        <f>IFERROR('07a_ATC'!AJ46*'07c_ATC_Ajustado'!$L$45,0)</f>
        <v>0</v>
      </c>
      <c r="AK46" s="427">
        <f>IFERROR('07a_ATC'!AK46*'07c_ATC_Ajustado'!$L$45,0)</f>
        <v>0</v>
      </c>
      <c r="AL46" s="427">
        <f>IFERROR('07a_ATC'!AL46*'07c_ATC_Ajustado'!$L$45,0)</f>
        <v>0</v>
      </c>
      <c r="AM46" s="427">
        <f>IFERROR('07a_ATC'!AM46*'07c_ATC_Ajustado'!$L$45,0)</f>
        <v>0</v>
      </c>
      <c r="AN46" s="427">
        <f>IFERROR('07a_ATC'!AN46*'07c_ATC_Ajustado'!$L$45,0)</f>
        <v>0</v>
      </c>
      <c r="AO46" s="427">
        <f>IFERROR('07a_ATC'!AO46*'07c_ATC_Ajustado'!$L$45,0)</f>
        <v>0</v>
      </c>
      <c r="AP46" s="427">
        <f>IFERROR('07a_ATC'!AP46*'07c_ATC_Ajustado'!$L$45,0)</f>
        <v>0</v>
      </c>
      <c r="AQ46" s="427">
        <f>IFERROR('07a_ATC'!AQ46*'07c_ATC_Ajustado'!$L$45,0)</f>
        <v>0</v>
      </c>
      <c r="AR46" s="427">
        <f>IFERROR('07a_ATC'!AR46*'07c_ATC_Ajustado'!$L$45,0)</f>
        <v>0</v>
      </c>
      <c r="AS46" s="427">
        <f>IFERROR('07a_ATC'!AS46*'07c_ATC_Ajustado'!$L$45,0)</f>
        <v>0</v>
      </c>
      <c r="AT46" s="427">
        <f>IFERROR('07a_ATC'!AT46*'07c_ATC_Ajustado'!$L$45,0)</f>
        <v>0</v>
      </c>
      <c r="AU46" s="427">
        <f>IFERROR('07a_ATC'!AU46*'07c_ATC_Ajustado'!$L$45,0)</f>
        <v>0</v>
      </c>
      <c r="AV46" s="427">
        <f>IFERROR('07a_ATC'!AV46*'07c_ATC_Ajustado'!$L$45,0)</f>
        <v>0</v>
      </c>
      <c r="AW46" s="427">
        <f>IFERROR('07a_ATC'!AW46*'07c_ATC_Ajustado'!$L$45,0)</f>
        <v>0</v>
      </c>
      <c r="AX46" s="427">
        <f>IFERROR('07a_ATC'!AX46*'07c_ATC_Ajustado'!$L$45,0)</f>
        <v>0</v>
      </c>
      <c r="AY46" s="427">
        <f>IFERROR('07a_ATC'!AY46*'07c_ATC_Ajustado'!$L$45,0)</f>
        <v>0</v>
      </c>
      <c r="AZ46" s="427">
        <f>IFERROR('07a_ATC'!AZ46*'07c_ATC_Ajustado'!$L$45,0)</f>
        <v>0</v>
      </c>
      <c r="BA46" s="427">
        <f>IFERROR('07a_ATC'!BA46*'07c_ATC_Ajustado'!$L$45,0)</f>
        <v>0</v>
      </c>
      <c r="BB46" s="427">
        <f>IFERROR('07a_ATC'!BB46*'07c_ATC_Ajustado'!$L$45,0)</f>
        <v>0</v>
      </c>
      <c r="BC46" s="427">
        <f>IFERROR('07a_ATC'!BC46*'07c_ATC_Ajustado'!$L$45,0)</f>
        <v>0</v>
      </c>
      <c r="BD46" s="427">
        <f>IFERROR('07a_ATC'!BD46*'07c_ATC_Ajustado'!$L$45,0)</f>
        <v>0</v>
      </c>
      <c r="BE46" s="427">
        <f>IFERROR('07a_ATC'!BE46*'07c_ATC_Ajustado'!$L$45,0)</f>
        <v>0</v>
      </c>
      <c r="BF46" s="427">
        <f>IFERROR('07a_ATC'!BF46*'07c_ATC_Ajustado'!$L$45,0)</f>
        <v>0</v>
      </c>
    </row>
    <row r="47" spans="1:58">
      <c r="A47" s="450"/>
      <c r="B47" s="424"/>
      <c r="C47" s="424"/>
      <c r="D47" s="424"/>
      <c r="E47" s="424"/>
      <c r="F47" s="424"/>
      <c r="G47" s="424"/>
      <c r="H47" s="462"/>
      <c r="I47" s="424"/>
      <c r="J47" s="424"/>
      <c r="K47" s="459"/>
      <c r="L47" s="464" t="str">
        <f>'00_Datos_Mercado'!$B$4</f>
        <v>b_CS - General (Comercio + Oficinas + Hospedaje)</v>
      </c>
      <c r="M47" s="429">
        <f t="shared" si="17"/>
        <v>20164.319431654327</v>
      </c>
      <c r="N47" s="427">
        <f>IFERROR('07a_ATC'!N47*'07c_ATC_Ajustado'!$L$45,0)</f>
        <v>3427.6300003207175</v>
      </c>
      <c r="O47" s="427">
        <f>IFERROR('07a_ATC'!O47*'07c_ATC_Ajustado'!$L$45,0)</f>
        <v>3709.437425435588</v>
      </c>
      <c r="P47" s="427">
        <f>IFERROR('07a_ATC'!P47*'07c_ATC_Ajustado'!$L$45,0)</f>
        <v>6513.6260029490104</v>
      </c>
      <c r="Q47" s="427">
        <f>IFERROR('07a_ATC'!Q47*'07c_ATC_Ajustado'!$L$45,0)</f>
        <v>6513.6260029490104</v>
      </c>
      <c r="R47" s="427">
        <f>IFERROR('07a_ATC'!R47*'07c_ATC_Ajustado'!$L$45,0)</f>
        <v>0</v>
      </c>
      <c r="S47" s="427">
        <f>IFERROR('07a_ATC'!S47*'07c_ATC_Ajustado'!$L$45,0)</f>
        <v>0</v>
      </c>
      <c r="T47" s="427">
        <f>IFERROR('07a_ATC'!T47*'07c_ATC_Ajustado'!$L$45,0)</f>
        <v>0</v>
      </c>
      <c r="U47" s="427">
        <f>IFERROR('07a_ATC'!U47*'07c_ATC_Ajustado'!$L$45,0)</f>
        <v>0</v>
      </c>
      <c r="V47" s="427">
        <f>IFERROR('07a_ATC'!V47*'07c_ATC_Ajustado'!$L$45,0)</f>
        <v>0</v>
      </c>
      <c r="W47" s="427">
        <f>IFERROR('07a_ATC'!W47*'07c_ATC_Ajustado'!$L$45,0)</f>
        <v>0</v>
      </c>
      <c r="X47" s="427">
        <f>IFERROR('07a_ATC'!X47*'07c_ATC_Ajustado'!$L$45,0)</f>
        <v>0</v>
      </c>
      <c r="Y47" s="427">
        <f>IFERROR('07a_ATC'!Y47*'07c_ATC_Ajustado'!$L$45,0)</f>
        <v>0</v>
      </c>
      <c r="Z47" s="427">
        <f>IFERROR('07a_ATC'!Z47*'07c_ATC_Ajustado'!$L$45,0)</f>
        <v>0</v>
      </c>
      <c r="AA47" s="427">
        <f>IFERROR('07a_ATC'!AA47*'07c_ATC_Ajustado'!$L$45,0)</f>
        <v>0</v>
      </c>
      <c r="AB47" s="427">
        <f>IFERROR('07a_ATC'!AB47*'07c_ATC_Ajustado'!$L$45,0)</f>
        <v>0</v>
      </c>
      <c r="AC47" s="427">
        <f>IFERROR('07a_ATC'!AC47*'07c_ATC_Ajustado'!$L$45,0)</f>
        <v>0</v>
      </c>
      <c r="AD47" s="427">
        <f>IFERROR('07a_ATC'!AD47*'07c_ATC_Ajustado'!$L$45,0)</f>
        <v>0</v>
      </c>
      <c r="AE47" s="427">
        <f>IFERROR('07a_ATC'!AE47*'07c_ATC_Ajustado'!$L$45,0)</f>
        <v>0</v>
      </c>
      <c r="AF47" s="427">
        <f>IFERROR('07a_ATC'!AF47*'07c_ATC_Ajustado'!$L$45,0)</f>
        <v>0</v>
      </c>
      <c r="AG47" s="427">
        <f>IFERROR('07a_ATC'!AG47*'07c_ATC_Ajustado'!$L$45,0)</f>
        <v>0</v>
      </c>
      <c r="AH47" s="427">
        <f>IFERROR('07a_ATC'!AH47*'07c_ATC_Ajustado'!$L$45,0)</f>
        <v>0</v>
      </c>
      <c r="AI47" s="427">
        <f>IFERROR('07a_ATC'!AI47*'07c_ATC_Ajustado'!$L$45,0)</f>
        <v>0</v>
      </c>
      <c r="AJ47" s="427">
        <f>IFERROR('07a_ATC'!AJ47*'07c_ATC_Ajustado'!$L$45,0)</f>
        <v>0</v>
      </c>
      <c r="AK47" s="427">
        <f>IFERROR('07a_ATC'!AK47*'07c_ATC_Ajustado'!$L$45,0)</f>
        <v>0</v>
      </c>
      <c r="AL47" s="427">
        <f>IFERROR('07a_ATC'!AL47*'07c_ATC_Ajustado'!$L$45,0)</f>
        <v>0</v>
      </c>
      <c r="AM47" s="427">
        <f>IFERROR('07a_ATC'!AM47*'07c_ATC_Ajustado'!$L$45,0)</f>
        <v>0</v>
      </c>
      <c r="AN47" s="427">
        <f>IFERROR('07a_ATC'!AN47*'07c_ATC_Ajustado'!$L$45,0)</f>
        <v>0</v>
      </c>
      <c r="AO47" s="427">
        <f>IFERROR('07a_ATC'!AO47*'07c_ATC_Ajustado'!$L$45,0)</f>
        <v>0</v>
      </c>
      <c r="AP47" s="427">
        <f>IFERROR('07a_ATC'!AP47*'07c_ATC_Ajustado'!$L$45,0)</f>
        <v>0</v>
      </c>
      <c r="AQ47" s="427">
        <f>IFERROR('07a_ATC'!AQ47*'07c_ATC_Ajustado'!$L$45,0)</f>
        <v>0</v>
      </c>
      <c r="AR47" s="427">
        <f>IFERROR('07a_ATC'!AR47*'07c_ATC_Ajustado'!$L$45,0)</f>
        <v>0</v>
      </c>
      <c r="AS47" s="427">
        <f>IFERROR('07a_ATC'!AS47*'07c_ATC_Ajustado'!$L$45,0)</f>
        <v>0</v>
      </c>
      <c r="AT47" s="427">
        <f>IFERROR('07a_ATC'!AT47*'07c_ATC_Ajustado'!$L$45,0)</f>
        <v>0</v>
      </c>
      <c r="AU47" s="427">
        <f>IFERROR('07a_ATC'!AU47*'07c_ATC_Ajustado'!$L$45,0)</f>
        <v>0</v>
      </c>
      <c r="AV47" s="427">
        <f>IFERROR('07a_ATC'!AV47*'07c_ATC_Ajustado'!$L$45,0)</f>
        <v>0</v>
      </c>
      <c r="AW47" s="427">
        <f>IFERROR('07a_ATC'!AW47*'07c_ATC_Ajustado'!$L$45,0)</f>
        <v>0</v>
      </c>
      <c r="AX47" s="427">
        <f>IFERROR('07a_ATC'!AX47*'07c_ATC_Ajustado'!$L$45,0)</f>
        <v>0</v>
      </c>
      <c r="AY47" s="427">
        <f>IFERROR('07a_ATC'!AY47*'07c_ATC_Ajustado'!$L$45,0)</f>
        <v>0</v>
      </c>
      <c r="AZ47" s="427">
        <f>IFERROR('07a_ATC'!AZ47*'07c_ATC_Ajustado'!$L$45,0)</f>
        <v>0</v>
      </c>
      <c r="BA47" s="427">
        <f>IFERROR('07a_ATC'!BA47*'07c_ATC_Ajustado'!$L$45,0)</f>
        <v>0</v>
      </c>
      <c r="BB47" s="427">
        <f>IFERROR('07a_ATC'!BB47*'07c_ATC_Ajustado'!$L$45,0)</f>
        <v>0</v>
      </c>
      <c r="BC47" s="427">
        <f>IFERROR('07a_ATC'!BC47*'07c_ATC_Ajustado'!$L$45,0)</f>
        <v>0</v>
      </c>
      <c r="BD47" s="427">
        <f>IFERROR('07a_ATC'!BD47*'07c_ATC_Ajustado'!$L$45,0)</f>
        <v>0</v>
      </c>
      <c r="BE47" s="427">
        <f>IFERROR('07a_ATC'!BE47*'07c_ATC_Ajustado'!$L$45,0)</f>
        <v>0</v>
      </c>
      <c r="BF47" s="427">
        <f>IFERROR('07a_ATC'!BF47*'07c_ATC_Ajustado'!$L$45,0)</f>
        <v>0</v>
      </c>
    </row>
    <row r="48" spans="1:58">
      <c r="A48" s="450"/>
      <c r="B48" s="424"/>
      <c r="C48" s="424"/>
      <c r="D48" s="424"/>
      <c r="E48" s="424"/>
      <c r="F48" s="424"/>
      <c r="G48" s="424"/>
      <c r="H48" s="462"/>
      <c r="I48" s="424"/>
      <c r="J48" s="424"/>
      <c r="K48" s="459"/>
      <c r="L48" s="465" t="str">
        <f>'00_Datos_Mercado'!$B$5</f>
        <v>c_CS - Grandes Superficies</v>
      </c>
      <c r="M48" s="429">
        <f t="shared" si="17"/>
        <v>0</v>
      </c>
      <c r="N48" s="427">
        <f>IFERROR('07a_ATC'!N48*'07c_ATC_Ajustado'!$L$45,0)</f>
        <v>0</v>
      </c>
      <c r="O48" s="427">
        <f>IFERROR('07a_ATC'!O48*'07c_ATC_Ajustado'!$L$45,0)</f>
        <v>0</v>
      </c>
      <c r="P48" s="427">
        <f>IFERROR('07a_ATC'!P48*'07c_ATC_Ajustado'!$L$45,0)</f>
        <v>0</v>
      </c>
      <c r="Q48" s="427">
        <f>IFERROR('07a_ATC'!Q48*'07c_ATC_Ajustado'!$L$45,0)</f>
        <v>0</v>
      </c>
      <c r="R48" s="427">
        <f>IFERROR('07a_ATC'!R48*'07c_ATC_Ajustado'!$L$45,0)</f>
        <v>0</v>
      </c>
      <c r="S48" s="427">
        <f>IFERROR('07a_ATC'!S48*'07c_ATC_Ajustado'!$L$45,0)</f>
        <v>0</v>
      </c>
      <c r="T48" s="427">
        <f>IFERROR('07a_ATC'!T48*'07c_ATC_Ajustado'!$L$45,0)</f>
        <v>0</v>
      </c>
      <c r="U48" s="427">
        <f>IFERROR('07a_ATC'!U48*'07c_ATC_Ajustado'!$L$45,0)</f>
        <v>0</v>
      </c>
      <c r="V48" s="427">
        <f>IFERROR('07a_ATC'!V48*'07c_ATC_Ajustado'!$L$45,0)</f>
        <v>0</v>
      </c>
      <c r="W48" s="427">
        <f>IFERROR('07a_ATC'!W48*'07c_ATC_Ajustado'!$L$45,0)</f>
        <v>0</v>
      </c>
      <c r="X48" s="427">
        <f>IFERROR('07a_ATC'!X48*'07c_ATC_Ajustado'!$L$45,0)</f>
        <v>0</v>
      </c>
      <c r="Y48" s="427">
        <f>IFERROR('07a_ATC'!Y48*'07c_ATC_Ajustado'!$L$45,0)</f>
        <v>0</v>
      </c>
      <c r="Z48" s="427">
        <f>IFERROR('07a_ATC'!Z48*'07c_ATC_Ajustado'!$L$45,0)</f>
        <v>0</v>
      </c>
      <c r="AA48" s="427">
        <f>IFERROR('07a_ATC'!AA48*'07c_ATC_Ajustado'!$L$45,0)</f>
        <v>0</v>
      </c>
      <c r="AB48" s="427">
        <f>IFERROR('07a_ATC'!AB48*'07c_ATC_Ajustado'!$L$45,0)</f>
        <v>0</v>
      </c>
      <c r="AC48" s="427">
        <f>IFERROR('07a_ATC'!AC48*'07c_ATC_Ajustado'!$L$45,0)</f>
        <v>0</v>
      </c>
      <c r="AD48" s="427">
        <f>IFERROR('07a_ATC'!AD48*'07c_ATC_Ajustado'!$L$45,0)</f>
        <v>0</v>
      </c>
      <c r="AE48" s="427">
        <f>IFERROR('07a_ATC'!AE48*'07c_ATC_Ajustado'!$L$45,0)</f>
        <v>0</v>
      </c>
      <c r="AF48" s="427">
        <f>IFERROR('07a_ATC'!AF48*'07c_ATC_Ajustado'!$L$45,0)</f>
        <v>0</v>
      </c>
      <c r="AG48" s="427">
        <f>IFERROR('07a_ATC'!AG48*'07c_ATC_Ajustado'!$L$45,0)</f>
        <v>0</v>
      </c>
      <c r="AH48" s="427">
        <f>IFERROR('07a_ATC'!AH48*'07c_ATC_Ajustado'!$L$45,0)</f>
        <v>0</v>
      </c>
      <c r="AI48" s="427">
        <f>IFERROR('07a_ATC'!AI48*'07c_ATC_Ajustado'!$L$45,0)</f>
        <v>0</v>
      </c>
      <c r="AJ48" s="427">
        <f>IFERROR('07a_ATC'!AJ48*'07c_ATC_Ajustado'!$L$45,0)</f>
        <v>0</v>
      </c>
      <c r="AK48" s="427">
        <f>IFERROR('07a_ATC'!AK48*'07c_ATC_Ajustado'!$L$45,0)</f>
        <v>0</v>
      </c>
      <c r="AL48" s="427">
        <f>IFERROR('07a_ATC'!AL48*'07c_ATC_Ajustado'!$L$45,0)</f>
        <v>0</v>
      </c>
      <c r="AM48" s="427">
        <f>IFERROR('07a_ATC'!AM48*'07c_ATC_Ajustado'!$L$45,0)</f>
        <v>0</v>
      </c>
      <c r="AN48" s="427">
        <f>IFERROR('07a_ATC'!AN48*'07c_ATC_Ajustado'!$L$45,0)</f>
        <v>0</v>
      </c>
      <c r="AO48" s="427">
        <f>IFERROR('07a_ATC'!AO48*'07c_ATC_Ajustado'!$L$45,0)</f>
        <v>0</v>
      </c>
      <c r="AP48" s="427">
        <f>IFERROR('07a_ATC'!AP48*'07c_ATC_Ajustado'!$L$45,0)</f>
        <v>0</v>
      </c>
      <c r="AQ48" s="427">
        <f>IFERROR('07a_ATC'!AQ48*'07c_ATC_Ajustado'!$L$45,0)</f>
        <v>0</v>
      </c>
      <c r="AR48" s="427">
        <f>IFERROR('07a_ATC'!AR48*'07c_ATC_Ajustado'!$L$45,0)</f>
        <v>0</v>
      </c>
      <c r="AS48" s="427">
        <f>IFERROR('07a_ATC'!AS48*'07c_ATC_Ajustado'!$L$45,0)</f>
        <v>0</v>
      </c>
      <c r="AT48" s="427">
        <f>IFERROR('07a_ATC'!AT48*'07c_ATC_Ajustado'!$L$45,0)</f>
        <v>0</v>
      </c>
      <c r="AU48" s="427">
        <f>IFERROR('07a_ATC'!AU48*'07c_ATC_Ajustado'!$L$45,0)</f>
        <v>0</v>
      </c>
      <c r="AV48" s="427">
        <f>IFERROR('07a_ATC'!AV48*'07c_ATC_Ajustado'!$L$45,0)</f>
        <v>0</v>
      </c>
      <c r="AW48" s="427">
        <f>IFERROR('07a_ATC'!AW48*'07c_ATC_Ajustado'!$L$45,0)</f>
        <v>0</v>
      </c>
      <c r="AX48" s="427">
        <f>IFERROR('07a_ATC'!AX48*'07c_ATC_Ajustado'!$L$45,0)</f>
        <v>0</v>
      </c>
      <c r="AY48" s="427">
        <f>IFERROR('07a_ATC'!AY48*'07c_ATC_Ajustado'!$L$45,0)</f>
        <v>0</v>
      </c>
      <c r="AZ48" s="427">
        <f>IFERROR('07a_ATC'!AZ48*'07c_ATC_Ajustado'!$L$45,0)</f>
        <v>0</v>
      </c>
      <c r="BA48" s="427">
        <f>IFERROR('07a_ATC'!BA48*'07c_ATC_Ajustado'!$L$45,0)</f>
        <v>0</v>
      </c>
      <c r="BB48" s="427">
        <f>IFERROR('07a_ATC'!BB48*'07c_ATC_Ajustado'!$L$45,0)</f>
        <v>0</v>
      </c>
      <c r="BC48" s="427">
        <f>IFERROR('07a_ATC'!BC48*'07c_ATC_Ajustado'!$L$45,0)</f>
        <v>0</v>
      </c>
      <c r="BD48" s="427">
        <f>IFERROR('07a_ATC'!BD48*'07c_ATC_Ajustado'!$L$45,0)</f>
        <v>0</v>
      </c>
      <c r="BE48" s="427">
        <f>IFERROR('07a_ATC'!BE48*'07c_ATC_Ajustado'!$L$45,0)</f>
        <v>0</v>
      </c>
      <c r="BF48" s="427">
        <f>IFERROR('07a_ATC'!BF48*'07c_ATC_Ajustado'!$L$45,0)</f>
        <v>0</v>
      </c>
    </row>
    <row r="49" spans="1:58">
      <c r="A49" s="450"/>
      <c r="B49" s="424"/>
      <c r="C49" s="424"/>
      <c r="D49" s="424"/>
      <c r="E49" s="424"/>
      <c r="F49" s="424"/>
      <c r="G49" s="424"/>
      <c r="H49" s="462"/>
      <c r="I49" s="424"/>
      <c r="J49" s="424"/>
      <c r="K49" s="459"/>
      <c r="L49" s="466" t="str">
        <f>'00_Datos_Mercado'!$B$6</f>
        <v>d_CS - Torre Empresarial (Oficinas + Hospedaje)</v>
      </c>
      <c r="M49" s="429">
        <f t="shared" si="17"/>
        <v>0</v>
      </c>
      <c r="N49" s="427">
        <f>IFERROR('07a_ATC'!N49*'07c_ATC_Ajustado'!$L$45,0)</f>
        <v>0</v>
      </c>
      <c r="O49" s="427">
        <f>IFERROR('07a_ATC'!O49*'07c_ATC_Ajustado'!$L$45,0)</f>
        <v>0</v>
      </c>
      <c r="P49" s="427">
        <f>IFERROR('07a_ATC'!P49*'07c_ATC_Ajustado'!$L$45,0)</f>
        <v>0</v>
      </c>
      <c r="Q49" s="427">
        <f>IFERROR('07a_ATC'!Q49*'07c_ATC_Ajustado'!$L$45,0)</f>
        <v>0</v>
      </c>
      <c r="R49" s="427">
        <f>IFERROR('07a_ATC'!R49*'07c_ATC_Ajustado'!$L$45,0)</f>
        <v>0</v>
      </c>
      <c r="S49" s="427">
        <f>IFERROR('07a_ATC'!S49*'07c_ATC_Ajustado'!$L$45,0)</f>
        <v>0</v>
      </c>
      <c r="T49" s="427">
        <f>IFERROR('07a_ATC'!T49*'07c_ATC_Ajustado'!$L$45,0)</f>
        <v>0</v>
      </c>
      <c r="U49" s="427">
        <f>IFERROR('07a_ATC'!U49*'07c_ATC_Ajustado'!$L$45,0)</f>
        <v>0</v>
      </c>
      <c r="V49" s="427">
        <f>IFERROR('07a_ATC'!V49*'07c_ATC_Ajustado'!$L$45,0)</f>
        <v>0</v>
      </c>
      <c r="W49" s="427">
        <f>IFERROR('07a_ATC'!W49*'07c_ATC_Ajustado'!$L$45,0)</f>
        <v>0</v>
      </c>
      <c r="X49" s="427">
        <f>IFERROR('07a_ATC'!X49*'07c_ATC_Ajustado'!$L$45,0)</f>
        <v>0</v>
      </c>
      <c r="Y49" s="427">
        <f>IFERROR('07a_ATC'!Y49*'07c_ATC_Ajustado'!$L$45,0)</f>
        <v>0</v>
      </c>
      <c r="Z49" s="427">
        <f>IFERROR('07a_ATC'!Z49*'07c_ATC_Ajustado'!$L$45,0)</f>
        <v>0</v>
      </c>
      <c r="AA49" s="427">
        <f>IFERROR('07a_ATC'!AA49*'07c_ATC_Ajustado'!$L$45,0)</f>
        <v>0</v>
      </c>
      <c r="AB49" s="427">
        <f>IFERROR('07a_ATC'!AB49*'07c_ATC_Ajustado'!$L$45,0)</f>
        <v>0</v>
      </c>
      <c r="AC49" s="427">
        <f>IFERROR('07a_ATC'!AC49*'07c_ATC_Ajustado'!$L$45,0)</f>
        <v>0</v>
      </c>
      <c r="AD49" s="427">
        <f>IFERROR('07a_ATC'!AD49*'07c_ATC_Ajustado'!$L$45,0)</f>
        <v>0</v>
      </c>
      <c r="AE49" s="427">
        <f>IFERROR('07a_ATC'!AE49*'07c_ATC_Ajustado'!$L$45,0)</f>
        <v>0</v>
      </c>
      <c r="AF49" s="427">
        <f>IFERROR('07a_ATC'!AF49*'07c_ATC_Ajustado'!$L$45,0)</f>
        <v>0</v>
      </c>
      <c r="AG49" s="427">
        <f>IFERROR('07a_ATC'!AG49*'07c_ATC_Ajustado'!$L$45,0)</f>
        <v>0</v>
      </c>
      <c r="AH49" s="427">
        <f>IFERROR('07a_ATC'!AH49*'07c_ATC_Ajustado'!$L$45,0)</f>
        <v>0</v>
      </c>
      <c r="AI49" s="427">
        <f>IFERROR('07a_ATC'!AI49*'07c_ATC_Ajustado'!$L$45,0)</f>
        <v>0</v>
      </c>
      <c r="AJ49" s="427">
        <f>IFERROR('07a_ATC'!AJ49*'07c_ATC_Ajustado'!$L$45,0)</f>
        <v>0</v>
      </c>
      <c r="AK49" s="427">
        <f>IFERROR('07a_ATC'!AK49*'07c_ATC_Ajustado'!$L$45,0)</f>
        <v>0</v>
      </c>
      <c r="AL49" s="427">
        <f>IFERROR('07a_ATC'!AL49*'07c_ATC_Ajustado'!$L$45,0)</f>
        <v>0</v>
      </c>
      <c r="AM49" s="427">
        <f>IFERROR('07a_ATC'!AM49*'07c_ATC_Ajustado'!$L$45,0)</f>
        <v>0</v>
      </c>
      <c r="AN49" s="427">
        <f>IFERROR('07a_ATC'!AN49*'07c_ATC_Ajustado'!$L$45,0)</f>
        <v>0</v>
      </c>
      <c r="AO49" s="427">
        <f>IFERROR('07a_ATC'!AO49*'07c_ATC_Ajustado'!$L$45,0)</f>
        <v>0</v>
      </c>
      <c r="AP49" s="427">
        <f>IFERROR('07a_ATC'!AP49*'07c_ATC_Ajustado'!$L$45,0)</f>
        <v>0</v>
      </c>
      <c r="AQ49" s="427">
        <f>IFERROR('07a_ATC'!AQ49*'07c_ATC_Ajustado'!$L$45,0)</f>
        <v>0</v>
      </c>
      <c r="AR49" s="427">
        <f>IFERROR('07a_ATC'!AR49*'07c_ATC_Ajustado'!$L$45,0)</f>
        <v>0</v>
      </c>
      <c r="AS49" s="427">
        <f>IFERROR('07a_ATC'!AS49*'07c_ATC_Ajustado'!$L$45,0)</f>
        <v>0</v>
      </c>
      <c r="AT49" s="427">
        <f>IFERROR('07a_ATC'!AT49*'07c_ATC_Ajustado'!$L$45,0)</f>
        <v>0</v>
      </c>
      <c r="AU49" s="427">
        <f>IFERROR('07a_ATC'!AU49*'07c_ATC_Ajustado'!$L$45,0)</f>
        <v>0</v>
      </c>
      <c r="AV49" s="427">
        <f>IFERROR('07a_ATC'!AV49*'07c_ATC_Ajustado'!$L$45,0)</f>
        <v>0</v>
      </c>
      <c r="AW49" s="427">
        <f>IFERROR('07a_ATC'!AW49*'07c_ATC_Ajustado'!$L$45,0)</f>
        <v>0</v>
      </c>
      <c r="AX49" s="427">
        <f>IFERROR('07a_ATC'!AX49*'07c_ATC_Ajustado'!$L$45,0)</f>
        <v>0</v>
      </c>
      <c r="AY49" s="427">
        <f>IFERROR('07a_ATC'!AY49*'07c_ATC_Ajustado'!$L$45,0)</f>
        <v>0</v>
      </c>
      <c r="AZ49" s="427">
        <f>IFERROR('07a_ATC'!AZ49*'07c_ATC_Ajustado'!$L$45,0)</f>
        <v>0</v>
      </c>
      <c r="BA49" s="427">
        <f>IFERROR('07a_ATC'!BA49*'07c_ATC_Ajustado'!$L$45,0)</f>
        <v>0</v>
      </c>
      <c r="BB49" s="427">
        <f>IFERROR('07a_ATC'!BB49*'07c_ATC_Ajustado'!$L$45,0)</f>
        <v>0</v>
      </c>
      <c r="BC49" s="427">
        <f>IFERROR('07a_ATC'!BC49*'07c_ATC_Ajustado'!$L$45,0)</f>
        <v>0</v>
      </c>
      <c r="BD49" s="427">
        <f>IFERROR('07a_ATC'!BD49*'07c_ATC_Ajustado'!$L$45,0)</f>
        <v>0</v>
      </c>
      <c r="BE49" s="427">
        <f>IFERROR('07a_ATC'!BE49*'07c_ATC_Ajustado'!$L$45,0)</f>
        <v>0</v>
      </c>
      <c r="BF49" s="427">
        <f>IFERROR('07a_ATC'!BF49*'07c_ATC_Ajustado'!$L$45,0)</f>
        <v>0</v>
      </c>
    </row>
    <row r="50" spans="1:58">
      <c r="A50" s="450"/>
      <c r="B50" s="424"/>
      <c r="C50" s="424"/>
      <c r="D50" s="424"/>
      <c r="E50" s="424"/>
      <c r="F50" s="424"/>
      <c r="G50" s="424"/>
      <c r="H50" s="462"/>
      <c r="I50" s="424"/>
      <c r="J50" s="424"/>
      <c r="K50" s="459"/>
      <c r="L50" s="467" t="str">
        <f>'00_Datos_Mercado'!$B$7</f>
        <v>e_CS - Innovation (H, CS, Gamers)</v>
      </c>
      <c r="M50" s="429">
        <f t="shared" si="17"/>
        <v>0</v>
      </c>
      <c r="N50" s="427">
        <f>IFERROR('07a_ATC'!N50*'07c_ATC_Ajustado'!$L$45,0)</f>
        <v>0</v>
      </c>
      <c r="O50" s="427">
        <f>IFERROR('07a_ATC'!O50*'07c_ATC_Ajustado'!$L$45,0)</f>
        <v>0</v>
      </c>
      <c r="P50" s="427">
        <f>IFERROR('07a_ATC'!P50*'07c_ATC_Ajustado'!$L$45,0)</f>
        <v>0</v>
      </c>
      <c r="Q50" s="427">
        <f>IFERROR('07a_ATC'!Q50*'07c_ATC_Ajustado'!$L$45,0)</f>
        <v>0</v>
      </c>
      <c r="R50" s="427">
        <f>IFERROR('07a_ATC'!R50*'07c_ATC_Ajustado'!$L$45,0)</f>
        <v>0</v>
      </c>
      <c r="S50" s="427">
        <f>IFERROR('07a_ATC'!S50*'07c_ATC_Ajustado'!$L$45,0)</f>
        <v>0</v>
      </c>
      <c r="T50" s="427">
        <f>IFERROR('07a_ATC'!T50*'07c_ATC_Ajustado'!$L$45,0)</f>
        <v>0</v>
      </c>
      <c r="U50" s="427">
        <f>IFERROR('07a_ATC'!U50*'07c_ATC_Ajustado'!$L$45,0)</f>
        <v>0</v>
      </c>
      <c r="V50" s="427">
        <f>IFERROR('07a_ATC'!V50*'07c_ATC_Ajustado'!$L$45,0)</f>
        <v>0</v>
      </c>
      <c r="W50" s="427">
        <f>IFERROR('07a_ATC'!W50*'07c_ATC_Ajustado'!$L$45,0)</f>
        <v>0</v>
      </c>
      <c r="X50" s="427">
        <f>IFERROR('07a_ATC'!X50*'07c_ATC_Ajustado'!$L$45,0)</f>
        <v>0</v>
      </c>
      <c r="Y50" s="427">
        <f>IFERROR('07a_ATC'!Y50*'07c_ATC_Ajustado'!$L$45,0)</f>
        <v>0</v>
      </c>
      <c r="Z50" s="427">
        <f>IFERROR('07a_ATC'!Z50*'07c_ATC_Ajustado'!$L$45,0)</f>
        <v>0</v>
      </c>
      <c r="AA50" s="427">
        <f>IFERROR('07a_ATC'!AA50*'07c_ATC_Ajustado'!$L$45,0)</f>
        <v>0</v>
      </c>
      <c r="AB50" s="427">
        <f>IFERROR('07a_ATC'!AB50*'07c_ATC_Ajustado'!$L$45,0)</f>
        <v>0</v>
      </c>
      <c r="AC50" s="427">
        <f>IFERROR('07a_ATC'!AC50*'07c_ATC_Ajustado'!$L$45,0)</f>
        <v>0</v>
      </c>
      <c r="AD50" s="427">
        <f>IFERROR('07a_ATC'!AD50*'07c_ATC_Ajustado'!$L$45,0)</f>
        <v>0</v>
      </c>
      <c r="AE50" s="427">
        <f>IFERROR('07a_ATC'!AE50*'07c_ATC_Ajustado'!$L$45,0)</f>
        <v>0</v>
      </c>
      <c r="AF50" s="427">
        <f>IFERROR('07a_ATC'!AF50*'07c_ATC_Ajustado'!$L$45,0)</f>
        <v>0</v>
      </c>
      <c r="AG50" s="427">
        <f>IFERROR('07a_ATC'!AG50*'07c_ATC_Ajustado'!$L$45,0)</f>
        <v>0</v>
      </c>
      <c r="AH50" s="427">
        <f>IFERROR('07a_ATC'!AH50*'07c_ATC_Ajustado'!$L$45,0)</f>
        <v>0</v>
      </c>
      <c r="AI50" s="427">
        <f>IFERROR('07a_ATC'!AI50*'07c_ATC_Ajustado'!$L$45,0)</f>
        <v>0</v>
      </c>
      <c r="AJ50" s="427">
        <f>IFERROR('07a_ATC'!AJ50*'07c_ATC_Ajustado'!$L$45,0)</f>
        <v>0</v>
      </c>
      <c r="AK50" s="427">
        <f>IFERROR('07a_ATC'!AK50*'07c_ATC_Ajustado'!$L$45,0)</f>
        <v>0</v>
      </c>
      <c r="AL50" s="427">
        <f>IFERROR('07a_ATC'!AL50*'07c_ATC_Ajustado'!$L$45,0)</f>
        <v>0</v>
      </c>
      <c r="AM50" s="427">
        <f>IFERROR('07a_ATC'!AM50*'07c_ATC_Ajustado'!$L$45,0)</f>
        <v>0</v>
      </c>
      <c r="AN50" s="427">
        <f>IFERROR('07a_ATC'!AN50*'07c_ATC_Ajustado'!$L$45,0)</f>
        <v>0</v>
      </c>
      <c r="AO50" s="427">
        <f>IFERROR('07a_ATC'!AO50*'07c_ATC_Ajustado'!$L$45,0)</f>
        <v>0</v>
      </c>
      <c r="AP50" s="427">
        <f>IFERROR('07a_ATC'!AP50*'07c_ATC_Ajustado'!$L$45,0)</f>
        <v>0</v>
      </c>
      <c r="AQ50" s="427">
        <f>IFERROR('07a_ATC'!AQ50*'07c_ATC_Ajustado'!$L$45,0)</f>
        <v>0</v>
      </c>
      <c r="AR50" s="427">
        <f>IFERROR('07a_ATC'!AR50*'07c_ATC_Ajustado'!$L$45,0)</f>
        <v>0</v>
      </c>
      <c r="AS50" s="427">
        <f>IFERROR('07a_ATC'!AS50*'07c_ATC_Ajustado'!$L$45,0)</f>
        <v>0</v>
      </c>
      <c r="AT50" s="427">
        <f>IFERROR('07a_ATC'!AT50*'07c_ATC_Ajustado'!$L$45,0)</f>
        <v>0</v>
      </c>
      <c r="AU50" s="427">
        <f>IFERROR('07a_ATC'!AU50*'07c_ATC_Ajustado'!$L$45,0)</f>
        <v>0</v>
      </c>
      <c r="AV50" s="427">
        <f>IFERROR('07a_ATC'!AV50*'07c_ATC_Ajustado'!$L$45,0)</f>
        <v>0</v>
      </c>
      <c r="AW50" s="427">
        <f>IFERROR('07a_ATC'!AW50*'07c_ATC_Ajustado'!$L$45,0)</f>
        <v>0</v>
      </c>
      <c r="AX50" s="427">
        <f>IFERROR('07a_ATC'!AX50*'07c_ATC_Ajustado'!$L$45,0)</f>
        <v>0</v>
      </c>
      <c r="AY50" s="427">
        <f>IFERROR('07a_ATC'!AY50*'07c_ATC_Ajustado'!$L$45,0)</f>
        <v>0</v>
      </c>
      <c r="AZ50" s="427">
        <f>IFERROR('07a_ATC'!AZ50*'07c_ATC_Ajustado'!$L$45,0)</f>
        <v>0</v>
      </c>
      <c r="BA50" s="427">
        <f>IFERROR('07a_ATC'!BA50*'07c_ATC_Ajustado'!$L$45,0)</f>
        <v>0</v>
      </c>
      <c r="BB50" s="427">
        <f>IFERROR('07a_ATC'!BB50*'07c_ATC_Ajustado'!$L$45,0)</f>
        <v>0</v>
      </c>
      <c r="BC50" s="427">
        <f>IFERROR('07a_ATC'!BC50*'07c_ATC_Ajustado'!$L$45,0)</f>
        <v>0</v>
      </c>
      <c r="BD50" s="427">
        <f>IFERROR('07a_ATC'!BD50*'07c_ATC_Ajustado'!$L$45,0)</f>
        <v>0</v>
      </c>
      <c r="BE50" s="427">
        <f>IFERROR('07a_ATC'!BE50*'07c_ATC_Ajustado'!$L$45,0)</f>
        <v>0</v>
      </c>
      <c r="BF50" s="427">
        <f>IFERROR('07a_ATC'!BF50*'07c_ATC_Ajustado'!$L$45,0)</f>
        <v>0</v>
      </c>
    </row>
    <row r="51" spans="1:58">
      <c r="A51" s="450"/>
      <c r="B51" s="424"/>
      <c r="C51" s="424"/>
      <c r="D51" s="424"/>
      <c r="E51" s="424"/>
      <c r="F51" s="424"/>
      <c r="G51" s="424"/>
      <c r="H51" s="462"/>
      <c r="I51" s="424"/>
      <c r="J51" s="424"/>
      <c r="K51" s="459"/>
      <c r="L51" s="468" t="str">
        <f>'00_Datos_Mercado'!$B$8</f>
        <v xml:space="preserve">f_RES - VIS Ru </v>
      </c>
      <c r="M51" s="429">
        <f t="shared" si="17"/>
        <v>24219.991275530811</v>
      </c>
      <c r="N51" s="427">
        <f>IFERROR('07a_ATC'!N51*'07c_ATC_Ajustado'!$L$45,0)</f>
        <v>0</v>
      </c>
      <c r="O51" s="427">
        <f>IFERROR('07a_ATC'!O51*'07c_ATC_Ajustado'!$L$45,0)</f>
        <v>0</v>
      </c>
      <c r="P51" s="427">
        <f>IFERROR('07a_ATC'!P51*'07c_ATC_Ajustado'!$L$45,0)</f>
        <v>0</v>
      </c>
      <c r="Q51" s="427">
        <f>IFERROR('07a_ATC'!Q51*'07c_ATC_Ajustado'!$L$45,0)</f>
        <v>0</v>
      </c>
      <c r="R51" s="427">
        <f>IFERROR('07a_ATC'!R51*'07c_ATC_Ajustado'!$L$45,0)</f>
        <v>0</v>
      </c>
      <c r="S51" s="427">
        <f>IFERROR('07a_ATC'!S51*'07c_ATC_Ajustado'!$L$45,0)</f>
        <v>6054.9978188827026</v>
      </c>
      <c r="T51" s="427">
        <f>IFERROR('07a_ATC'!T51*'07c_ATC_Ajustado'!$L$45,0)</f>
        <v>6054.9978188827026</v>
      </c>
      <c r="U51" s="427">
        <f>IFERROR('07a_ATC'!U51*'07c_ATC_Ajustado'!$L$45,0)</f>
        <v>6054.9978188827026</v>
      </c>
      <c r="V51" s="427">
        <f>IFERROR('07a_ATC'!V51*'07c_ATC_Ajustado'!$L$45,0)</f>
        <v>6054.9978188827026</v>
      </c>
      <c r="W51" s="427">
        <f>IFERROR('07a_ATC'!W51*'07c_ATC_Ajustado'!$L$45,0)</f>
        <v>0</v>
      </c>
      <c r="X51" s="427">
        <f>IFERROR('07a_ATC'!X51*'07c_ATC_Ajustado'!$L$45,0)</f>
        <v>0</v>
      </c>
      <c r="Y51" s="427">
        <f>IFERROR('07a_ATC'!Y51*'07c_ATC_Ajustado'!$L$45,0)</f>
        <v>0</v>
      </c>
      <c r="Z51" s="427">
        <f>IFERROR('07a_ATC'!Z51*'07c_ATC_Ajustado'!$L$45,0)</f>
        <v>0</v>
      </c>
      <c r="AA51" s="427">
        <f>IFERROR('07a_ATC'!AA51*'07c_ATC_Ajustado'!$L$45,0)</f>
        <v>0</v>
      </c>
      <c r="AB51" s="427">
        <f>IFERROR('07a_ATC'!AB51*'07c_ATC_Ajustado'!$L$45,0)</f>
        <v>0</v>
      </c>
      <c r="AC51" s="427">
        <f>IFERROR('07a_ATC'!AC51*'07c_ATC_Ajustado'!$L$45,0)</f>
        <v>0</v>
      </c>
      <c r="AD51" s="427">
        <f>IFERROR('07a_ATC'!AD51*'07c_ATC_Ajustado'!$L$45,0)</f>
        <v>0</v>
      </c>
      <c r="AE51" s="427">
        <f>IFERROR('07a_ATC'!AE51*'07c_ATC_Ajustado'!$L$45,0)</f>
        <v>0</v>
      </c>
      <c r="AF51" s="427">
        <f>IFERROR('07a_ATC'!AF51*'07c_ATC_Ajustado'!$L$45,0)</f>
        <v>0</v>
      </c>
      <c r="AG51" s="427">
        <f>IFERROR('07a_ATC'!AG51*'07c_ATC_Ajustado'!$L$45,0)</f>
        <v>0</v>
      </c>
      <c r="AH51" s="427">
        <f>IFERROR('07a_ATC'!AH51*'07c_ATC_Ajustado'!$L$45,0)</f>
        <v>0</v>
      </c>
      <c r="AI51" s="427">
        <f>IFERROR('07a_ATC'!AI51*'07c_ATC_Ajustado'!$L$45,0)</f>
        <v>0</v>
      </c>
      <c r="AJ51" s="427">
        <f>IFERROR('07a_ATC'!AJ51*'07c_ATC_Ajustado'!$L$45,0)</f>
        <v>0</v>
      </c>
      <c r="AK51" s="427">
        <f>IFERROR('07a_ATC'!AK51*'07c_ATC_Ajustado'!$L$45,0)</f>
        <v>0</v>
      </c>
      <c r="AL51" s="427">
        <f>IFERROR('07a_ATC'!AL51*'07c_ATC_Ajustado'!$L$45,0)</f>
        <v>0</v>
      </c>
      <c r="AM51" s="427">
        <f>IFERROR('07a_ATC'!AM51*'07c_ATC_Ajustado'!$L$45,0)</f>
        <v>0</v>
      </c>
      <c r="AN51" s="427">
        <f>IFERROR('07a_ATC'!AN51*'07c_ATC_Ajustado'!$L$45,0)</f>
        <v>0</v>
      </c>
      <c r="AO51" s="427">
        <f>IFERROR('07a_ATC'!AO51*'07c_ATC_Ajustado'!$L$45,0)</f>
        <v>0</v>
      </c>
      <c r="AP51" s="427">
        <f>IFERROR('07a_ATC'!AP51*'07c_ATC_Ajustado'!$L$45,0)</f>
        <v>0</v>
      </c>
      <c r="AQ51" s="427">
        <f>IFERROR('07a_ATC'!AQ51*'07c_ATC_Ajustado'!$L$45,0)</f>
        <v>0</v>
      </c>
      <c r="AR51" s="427">
        <f>IFERROR('07a_ATC'!AR51*'07c_ATC_Ajustado'!$L$45,0)</f>
        <v>0</v>
      </c>
      <c r="AS51" s="427">
        <f>IFERROR('07a_ATC'!AS51*'07c_ATC_Ajustado'!$L$45,0)</f>
        <v>0</v>
      </c>
      <c r="AT51" s="427">
        <f>IFERROR('07a_ATC'!AT51*'07c_ATC_Ajustado'!$L$45,0)</f>
        <v>0</v>
      </c>
      <c r="AU51" s="427">
        <f>IFERROR('07a_ATC'!AU51*'07c_ATC_Ajustado'!$L$45,0)</f>
        <v>0</v>
      </c>
      <c r="AV51" s="427">
        <f>IFERROR('07a_ATC'!AV51*'07c_ATC_Ajustado'!$L$45,0)</f>
        <v>0</v>
      </c>
      <c r="AW51" s="427">
        <f>IFERROR('07a_ATC'!AW51*'07c_ATC_Ajustado'!$L$45,0)</f>
        <v>0</v>
      </c>
      <c r="AX51" s="427">
        <f>IFERROR('07a_ATC'!AX51*'07c_ATC_Ajustado'!$L$45,0)</f>
        <v>0</v>
      </c>
      <c r="AY51" s="427">
        <f>IFERROR('07a_ATC'!AY51*'07c_ATC_Ajustado'!$L$45,0)</f>
        <v>0</v>
      </c>
      <c r="AZ51" s="427">
        <f>IFERROR('07a_ATC'!AZ51*'07c_ATC_Ajustado'!$L$45,0)</f>
        <v>0</v>
      </c>
      <c r="BA51" s="427">
        <f>IFERROR('07a_ATC'!BA51*'07c_ATC_Ajustado'!$L$45,0)</f>
        <v>0</v>
      </c>
      <c r="BB51" s="427">
        <f>IFERROR('07a_ATC'!BB51*'07c_ATC_Ajustado'!$L$45,0)</f>
        <v>0</v>
      </c>
      <c r="BC51" s="427">
        <f>IFERROR('07a_ATC'!BC51*'07c_ATC_Ajustado'!$L$45,0)</f>
        <v>0</v>
      </c>
      <c r="BD51" s="427">
        <f>IFERROR('07a_ATC'!BD51*'07c_ATC_Ajustado'!$L$45,0)</f>
        <v>0</v>
      </c>
      <c r="BE51" s="427">
        <f>IFERROR('07a_ATC'!BE51*'07c_ATC_Ajustado'!$L$45,0)</f>
        <v>0</v>
      </c>
      <c r="BF51" s="427">
        <f>IFERROR('07a_ATC'!BF51*'07c_ATC_Ajustado'!$L$45,0)</f>
        <v>0</v>
      </c>
    </row>
    <row r="52" spans="1:58">
      <c r="A52" s="450"/>
      <c r="B52" s="424"/>
      <c r="C52" s="424"/>
      <c r="D52" s="424"/>
      <c r="E52" s="424"/>
      <c r="F52" s="424"/>
      <c r="G52" s="424"/>
      <c r="H52" s="462"/>
      <c r="I52" s="424"/>
      <c r="J52" s="424"/>
      <c r="K52" s="459"/>
      <c r="L52" s="469" t="str">
        <f>'00_Datos_Mercado'!$B$10</f>
        <v>i_RES - No VIS</v>
      </c>
      <c r="M52" s="429">
        <f t="shared" si="17"/>
        <v>163484.94110983296</v>
      </c>
      <c r="N52" s="427">
        <f>IFERROR('07a_ATC'!N52*'07c_ATC_Ajustado'!$L$45,0)</f>
        <v>0</v>
      </c>
      <c r="O52" s="427">
        <f>IFERROR('07a_ATC'!O52*'07c_ATC_Ajustado'!$L$45,0)</f>
        <v>0</v>
      </c>
      <c r="P52" s="427">
        <f>IFERROR('07a_ATC'!P52*'07c_ATC_Ajustado'!$L$45,0)</f>
        <v>0</v>
      </c>
      <c r="Q52" s="427">
        <f>IFERROR('07a_ATC'!Q52*'07c_ATC_Ajustado'!$L$45,0)</f>
        <v>0</v>
      </c>
      <c r="R52" s="427">
        <f>IFERROR('07a_ATC'!R52*'07c_ATC_Ajustado'!$L$45,0)</f>
        <v>0</v>
      </c>
      <c r="S52" s="427">
        <f>IFERROR('07a_ATC'!S52*'07c_ATC_Ajustado'!$L$45,0)</f>
        <v>0</v>
      </c>
      <c r="T52" s="427">
        <f>IFERROR('07a_ATC'!T52*'07c_ATC_Ajustado'!$L$45,0)</f>
        <v>0</v>
      </c>
      <c r="U52" s="427">
        <f>IFERROR('07a_ATC'!U52*'07c_ATC_Ajustado'!$L$45,0)</f>
        <v>0</v>
      </c>
      <c r="V52" s="427">
        <f>IFERROR('07a_ATC'!V52*'07c_ATC_Ajustado'!$L$45,0)</f>
        <v>0</v>
      </c>
      <c r="W52" s="427">
        <f>IFERROR('07a_ATC'!W52*'07c_ATC_Ajustado'!$L$45,0)</f>
        <v>6054.9978188827026</v>
      </c>
      <c r="X52" s="427">
        <f>IFERROR('07a_ATC'!X52*'07c_ATC_Ajustado'!$L$45,0)</f>
        <v>6054.9978188827026</v>
      </c>
      <c r="Y52" s="427">
        <f>IFERROR('07a_ATC'!Y52*'07c_ATC_Ajustado'!$L$45,0)</f>
        <v>6054.9978188827026</v>
      </c>
      <c r="Z52" s="427">
        <f>IFERROR('07a_ATC'!Z52*'07c_ATC_Ajustado'!$L$45,0)</f>
        <v>6054.9978188827026</v>
      </c>
      <c r="AA52" s="427">
        <f>IFERROR('07a_ATC'!AA52*'07c_ATC_Ajustado'!$L$45,0)</f>
        <v>6054.9978188827026</v>
      </c>
      <c r="AB52" s="427">
        <f>IFERROR('07a_ATC'!AB52*'07c_ATC_Ajustado'!$L$45,0)</f>
        <v>6054.9978188827026</v>
      </c>
      <c r="AC52" s="427">
        <f>IFERROR('07a_ATC'!AC52*'07c_ATC_Ajustado'!$L$45,0)</f>
        <v>6054.9978188827026</v>
      </c>
      <c r="AD52" s="427">
        <f>IFERROR('07a_ATC'!AD52*'07c_ATC_Ajustado'!$L$45,0)</f>
        <v>6054.9978188827026</v>
      </c>
      <c r="AE52" s="427">
        <f>IFERROR('07a_ATC'!AE52*'07c_ATC_Ajustado'!$L$45,0)</f>
        <v>6054.9978188827026</v>
      </c>
      <c r="AF52" s="427">
        <f>IFERROR('07a_ATC'!AF52*'07c_ATC_Ajustado'!$L$45,0)</f>
        <v>6054.9978188827026</v>
      </c>
      <c r="AG52" s="427">
        <f>IFERROR('07a_ATC'!AG52*'07c_ATC_Ajustado'!$L$45,0)</f>
        <v>6054.9978188827026</v>
      </c>
      <c r="AH52" s="427">
        <f>IFERROR('07a_ATC'!AH52*'07c_ATC_Ajustado'!$L$45,0)</f>
        <v>6054.9978188827026</v>
      </c>
      <c r="AI52" s="427">
        <f>IFERROR('07a_ATC'!AI52*'07c_ATC_Ajustado'!$L$45,0)</f>
        <v>6054.9978188827026</v>
      </c>
      <c r="AJ52" s="427">
        <f>IFERROR('07a_ATC'!AJ52*'07c_ATC_Ajustado'!$L$45,0)</f>
        <v>6054.9978188827026</v>
      </c>
      <c r="AK52" s="427">
        <f>IFERROR('07a_ATC'!AK52*'07c_ATC_Ajustado'!$L$45,0)</f>
        <v>6054.9978188827026</v>
      </c>
      <c r="AL52" s="427">
        <f>IFERROR('07a_ATC'!AL52*'07c_ATC_Ajustado'!$L$45,0)</f>
        <v>6054.9978188827026</v>
      </c>
      <c r="AM52" s="427">
        <f>IFERROR('07a_ATC'!AM52*'07c_ATC_Ajustado'!$L$45,0)</f>
        <v>6054.9978188827026</v>
      </c>
      <c r="AN52" s="427">
        <f>IFERROR('07a_ATC'!AN52*'07c_ATC_Ajustado'!$L$45,0)</f>
        <v>6054.9978188827026</v>
      </c>
      <c r="AO52" s="427">
        <f>IFERROR('07a_ATC'!AO52*'07c_ATC_Ajustado'!$L$45,0)</f>
        <v>6054.9978188827026</v>
      </c>
      <c r="AP52" s="427">
        <f>IFERROR('07a_ATC'!AP52*'07c_ATC_Ajustado'!$L$45,0)</f>
        <v>6054.9978188827026</v>
      </c>
      <c r="AQ52" s="427">
        <f>IFERROR('07a_ATC'!AQ52*'07c_ATC_Ajustado'!$L$45,0)</f>
        <v>6054.9978188827026</v>
      </c>
      <c r="AR52" s="427">
        <f>IFERROR('07a_ATC'!AR52*'07c_ATC_Ajustado'!$L$45,0)</f>
        <v>6054.9978188827026</v>
      </c>
      <c r="AS52" s="427">
        <f>IFERROR('07a_ATC'!AS52*'07c_ATC_Ajustado'!$L$45,0)</f>
        <v>6054.9978188827026</v>
      </c>
      <c r="AT52" s="427">
        <f>IFERROR('07a_ATC'!AT52*'07c_ATC_Ajustado'!$L$45,0)</f>
        <v>6054.9978188827026</v>
      </c>
      <c r="AU52" s="427">
        <f>IFERROR('07a_ATC'!AU52*'07c_ATC_Ajustado'!$L$45,0)</f>
        <v>6054.9978188827026</v>
      </c>
      <c r="AV52" s="427">
        <f>IFERROR('07a_ATC'!AV52*'07c_ATC_Ajustado'!$L$45,0)</f>
        <v>6054.9978188827026</v>
      </c>
      <c r="AW52" s="427">
        <f>IFERROR('07a_ATC'!AW52*'07c_ATC_Ajustado'!$L$45,0)</f>
        <v>6054.9978188827026</v>
      </c>
      <c r="AX52" s="427">
        <f>IFERROR('07a_ATC'!AX52*'07c_ATC_Ajustado'!$L$45,0)</f>
        <v>0</v>
      </c>
      <c r="AY52" s="427">
        <f>IFERROR('07a_ATC'!AY52*'07c_ATC_Ajustado'!$L$45,0)</f>
        <v>0</v>
      </c>
      <c r="AZ52" s="427">
        <f>IFERROR('07a_ATC'!AZ52*'07c_ATC_Ajustado'!$L$45,0)</f>
        <v>0</v>
      </c>
      <c r="BA52" s="427">
        <f>IFERROR('07a_ATC'!BA52*'07c_ATC_Ajustado'!$L$45,0)</f>
        <v>0</v>
      </c>
      <c r="BB52" s="427">
        <f>IFERROR('07a_ATC'!BB52*'07c_ATC_Ajustado'!$L$45,0)</f>
        <v>0</v>
      </c>
      <c r="BC52" s="427">
        <f>IFERROR('07a_ATC'!BC52*'07c_ATC_Ajustado'!$L$45,0)</f>
        <v>0</v>
      </c>
      <c r="BD52" s="427">
        <f>IFERROR('07a_ATC'!BD52*'07c_ATC_Ajustado'!$L$45,0)</f>
        <v>0</v>
      </c>
      <c r="BE52" s="427">
        <f>IFERROR('07a_ATC'!BE52*'07c_ATC_Ajustado'!$L$45,0)</f>
        <v>0</v>
      </c>
      <c r="BF52" s="427">
        <f>IFERROR('07a_ATC'!BF52*'07c_ATC_Ajustado'!$L$45,0)</f>
        <v>0</v>
      </c>
    </row>
    <row r="53" spans="1:58">
      <c r="A53" s="450"/>
      <c r="B53" s="424"/>
      <c r="C53" s="424"/>
      <c r="D53" s="424"/>
      <c r="E53" s="424"/>
      <c r="F53" s="424"/>
      <c r="G53" s="424"/>
      <c r="H53" s="462"/>
      <c r="I53" s="424"/>
      <c r="J53" s="424"/>
      <c r="K53" s="459"/>
      <c r="L53" s="470" t="s">
        <v>697</v>
      </c>
      <c r="M53" s="471">
        <f t="shared" ref="M53" si="18">SUM(N53:BF53)</f>
        <v>12109.995637765405</v>
      </c>
      <c r="N53" s="472">
        <f>IFERROR('07a_ATC'!N53*'07c_ATC_Ajustado'!$L$45,0)</f>
        <v>0</v>
      </c>
      <c r="O53" s="472">
        <f>IFERROR('07a_ATC'!O53*'07c_ATC_Ajustado'!$L$45,0)</f>
        <v>0</v>
      </c>
      <c r="P53" s="472">
        <f>IFERROR('07a_ATC'!P53*'07c_ATC_Ajustado'!$L$45,0)</f>
        <v>0</v>
      </c>
      <c r="Q53" s="472">
        <f>IFERROR('07a_ATC'!Q53*'07c_ATC_Ajustado'!$L$45,0)</f>
        <v>0</v>
      </c>
      <c r="R53" s="472">
        <f>IFERROR('07a_ATC'!R53*'07c_ATC_Ajustado'!$L$45,0)</f>
        <v>6054.9978188827026</v>
      </c>
      <c r="S53" s="472">
        <f>IFERROR('07a_ATC'!S53*'07c_ATC_Ajustado'!$L$45,0)</f>
        <v>0</v>
      </c>
      <c r="T53" s="472">
        <f>IFERROR('07a_ATC'!T53*'07c_ATC_Ajustado'!$L$45,0)</f>
        <v>0</v>
      </c>
      <c r="U53" s="472">
        <f>IFERROR('07a_ATC'!U53*'07c_ATC_Ajustado'!$L$45,0)</f>
        <v>0</v>
      </c>
      <c r="V53" s="472">
        <f>IFERROR('07a_ATC'!V53*'07c_ATC_Ajustado'!$L$45,0)</f>
        <v>0</v>
      </c>
      <c r="W53" s="472">
        <f>IFERROR('07a_ATC'!W53*'07c_ATC_Ajustado'!$L$45,0)</f>
        <v>0</v>
      </c>
      <c r="X53" s="472">
        <f>IFERROR('07a_ATC'!X53*'07c_ATC_Ajustado'!$L$45,0)</f>
        <v>0</v>
      </c>
      <c r="Y53" s="472">
        <f>IFERROR('07a_ATC'!Y53*'07c_ATC_Ajustado'!$L$45,0)</f>
        <v>0</v>
      </c>
      <c r="Z53" s="472">
        <f>IFERROR('07a_ATC'!Z53*'07c_ATC_Ajustado'!$L$45,0)</f>
        <v>0</v>
      </c>
      <c r="AA53" s="472">
        <f>IFERROR('07a_ATC'!AA53*'07c_ATC_Ajustado'!$L$45,0)</f>
        <v>0</v>
      </c>
      <c r="AB53" s="472">
        <f>IFERROR('07a_ATC'!AB53*'07c_ATC_Ajustado'!$L$45,0)</f>
        <v>0</v>
      </c>
      <c r="AC53" s="472">
        <f>IFERROR('07a_ATC'!AC53*'07c_ATC_Ajustado'!$L$45,0)</f>
        <v>0</v>
      </c>
      <c r="AD53" s="472">
        <f>IFERROR('07a_ATC'!AD53*'07c_ATC_Ajustado'!$L$45,0)</f>
        <v>0</v>
      </c>
      <c r="AE53" s="472">
        <f>IFERROR('07a_ATC'!AE53*'07c_ATC_Ajustado'!$L$45,0)</f>
        <v>0</v>
      </c>
      <c r="AF53" s="472">
        <f>IFERROR('07a_ATC'!AF53*'07c_ATC_Ajustado'!$L$45,0)</f>
        <v>0</v>
      </c>
      <c r="AG53" s="472">
        <f>IFERROR('07a_ATC'!AG53*'07c_ATC_Ajustado'!$L$45,0)</f>
        <v>0</v>
      </c>
      <c r="AH53" s="472">
        <f>IFERROR('07a_ATC'!AH53*'07c_ATC_Ajustado'!$L$45,0)</f>
        <v>0</v>
      </c>
      <c r="AI53" s="472">
        <f>IFERROR('07a_ATC'!AI53*'07c_ATC_Ajustado'!$L$45,0)</f>
        <v>0</v>
      </c>
      <c r="AJ53" s="472">
        <f>IFERROR('07a_ATC'!AJ53*'07c_ATC_Ajustado'!$L$45,0)</f>
        <v>0</v>
      </c>
      <c r="AK53" s="472">
        <f>IFERROR('07a_ATC'!AK53*'07c_ATC_Ajustado'!$L$45,0)</f>
        <v>0</v>
      </c>
      <c r="AL53" s="472">
        <f>IFERROR('07a_ATC'!AL53*'07c_ATC_Ajustado'!$L$45,0)</f>
        <v>0</v>
      </c>
      <c r="AM53" s="472">
        <f>IFERROR('07a_ATC'!AM53*'07c_ATC_Ajustado'!$L$45,0)</f>
        <v>0</v>
      </c>
      <c r="AN53" s="472">
        <f>IFERROR('07a_ATC'!AN53*'07c_ATC_Ajustado'!$L$45,0)</f>
        <v>0</v>
      </c>
      <c r="AO53" s="472">
        <f>IFERROR('07a_ATC'!AO53*'07c_ATC_Ajustado'!$L$45,0)</f>
        <v>0</v>
      </c>
      <c r="AP53" s="472">
        <f>IFERROR('07a_ATC'!AP53*'07c_ATC_Ajustado'!$L$45,0)</f>
        <v>0</v>
      </c>
      <c r="AQ53" s="472">
        <f>IFERROR('07a_ATC'!AQ53*'07c_ATC_Ajustado'!$L$45,0)</f>
        <v>0</v>
      </c>
      <c r="AR53" s="472">
        <f>IFERROR('07a_ATC'!AR53*'07c_ATC_Ajustado'!$L$45,0)</f>
        <v>0</v>
      </c>
      <c r="AS53" s="472">
        <f>IFERROR('07a_ATC'!AS53*'07c_ATC_Ajustado'!$L$45,0)</f>
        <v>0</v>
      </c>
      <c r="AT53" s="472">
        <f>IFERROR('07a_ATC'!AT53*'07c_ATC_Ajustado'!$L$45,0)</f>
        <v>0</v>
      </c>
      <c r="AU53" s="472">
        <f>IFERROR('07a_ATC'!AU53*'07c_ATC_Ajustado'!$L$45,0)</f>
        <v>0</v>
      </c>
      <c r="AV53" s="472">
        <f>IFERROR('07a_ATC'!AV53*'07c_ATC_Ajustado'!$L$45,0)</f>
        <v>0</v>
      </c>
      <c r="AW53" s="472">
        <f>IFERROR('07a_ATC'!AW53*'07c_ATC_Ajustado'!$L$45,0)</f>
        <v>0</v>
      </c>
      <c r="AX53" s="472">
        <f>IFERROR('07a_ATC'!AX53*'07c_ATC_Ajustado'!$L$45,0)</f>
        <v>6054.9978188827026</v>
      </c>
      <c r="AY53" s="472">
        <f>IFERROR('07a_ATC'!AY53*'07c_ATC_Ajustado'!$L$45,0)</f>
        <v>0</v>
      </c>
      <c r="AZ53" s="472">
        <f>IFERROR('07a_ATC'!AZ53*'07c_ATC_Ajustado'!$L$45,0)</f>
        <v>0</v>
      </c>
      <c r="BA53" s="472">
        <f>IFERROR('07a_ATC'!BA53*'07c_ATC_Ajustado'!$L$45,0)</f>
        <v>0</v>
      </c>
      <c r="BB53" s="472">
        <f>IFERROR('07a_ATC'!BB53*'07c_ATC_Ajustado'!$L$45,0)</f>
        <v>0</v>
      </c>
      <c r="BC53" s="472">
        <f>IFERROR('07a_ATC'!BC53*'07c_ATC_Ajustado'!$L$45,0)</f>
        <v>0</v>
      </c>
      <c r="BD53" s="472">
        <f>IFERROR('07a_ATC'!BD53*'07c_ATC_Ajustado'!$L$45,0)</f>
        <v>0</v>
      </c>
      <c r="BE53" s="472">
        <f>IFERROR('07a_ATC'!BE53*'07c_ATC_Ajustado'!$L$45,0)</f>
        <v>0</v>
      </c>
      <c r="BF53" s="472">
        <f>IFERROR('07a_ATC'!BF53*'07c_ATC_Ajustado'!$L$45,0)</f>
        <v>0</v>
      </c>
    </row>
    <row r="54" spans="1:58" s="456" customFormat="1" ht="15.6">
      <c r="A54" s="450">
        <v>6</v>
      </c>
      <c r="B54" s="452">
        <f>SUMIF('04a_PROPUESTA_MO'!$R$9:$R$42,'07c_ATC_Ajustado'!A54,'04a_PROPUESTA_MO'!$T$9:$T$42)</f>
        <v>21089.89942655</v>
      </c>
      <c r="C54" s="452">
        <f>SUMIF('04a_PROPUESTA_MO'!$R$9:$R$42,'07c_ATC_Ajustado'!A54,'04a_PROPUESTA_MO'!$AH$9:$AH$42)</f>
        <v>5562.2636057221716</v>
      </c>
      <c r="D54" s="452">
        <f>SUMIF('04a_PROPUESTA_MO'!$R$9:$R$42,'07c_ATC_Ajustado'!A54,'04a_PROPUESTA_MO'!$AI$9:$AI$42)</f>
        <v>6942.1096135623484</v>
      </c>
      <c r="E54" s="452">
        <f>SUMIF('04a_PROPUESTA_MO'!$R$9:$R$42,'07c_ATC_Ajustado'!A54,'04a_PROPUESTA_MO'!$AJ$9:$AJ$42)</f>
        <v>0</v>
      </c>
      <c r="F54" s="452">
        <f t="shared" si="4"/>
        <v>12504.37321928452</v>
      </c>
      <c r="G54" s="452">
        <f t="shared" si="5"/>
        <v>8585.5262072654805</v>
      </c>
      <c r="H54" s="453">
        <f>G54/$G$7</f>
        <v>0.1488685790807735</v>
      </c>
      <c r="I54" s="452">
        <f t="shared" si="6"/>
        <v>1905.1278876901943</v>
      </c>
      <c r="J54" s="452">
        <f>SUMIF('04a_PROPUESTA_MO'!$R$9:$R$42,'07c_ATC_Ajustado'!A54,'04a_PROPUESTA_MO'!$AN$9:$AN$42)</f>
        <v>6680.3983195752862</v>
      </c>
      <c r="K54" s="454">
        <f t="shared" si="7"/>
        <v>0.1520067259747494</v>
      </c>
      <c r="L54" s="460">
        <f>1+'07b_ATC_Ajuste'!$E$10</f>
        <v>1.0519599797776353</v>
      </c>
      <c r="M54" s="461">
        <f>SUM(M55:M61)</f>
        <v>225771.89281067142</v>
      </c>
      <c r="N54" s="461">
        <f t="shared" ref="N54:BF54" si="19">SUM(N55:N61)</f>
        <v>6680.3982143792891</v>
      </c>
      <c r="O54" s="461">
        <f t="shared" si="19"/>
        <v>7211.869435362546</v>
      </c>
      <c r="P54" s="461">
        <f t="shared" si="19"/>
        <v>7211.8799549623436</v>
      </c>
      <c r="Q54" s="461">
        <f t="shared" si="19"/>
        <v>7211.8799549623436</v>
      </c>
      <c r="R54" s="461">
        <f t="shared" si="19"/>
        <v>0</v>
      </c>
      <c r="S54" s="461">
        <f t="shared" si="19"/>
        <v>6369.5440403549974</v>
      </c>
      <c r="T54" s="461">
        <f t="shared" si="19"/>
        <v>6369.5440403549974</v>
      </c>
      <c r="U54" s="461">
        <f t="shared" si="19"/>
        <v>6369.5440403549974</v>
      </c>
      <c r="V54" s="461">
        <f t="shared" si="19"/>
        <v>6369.5440403549974</v>
      </c>
      <c r="W54" s="461">
        <f t="shared" si="19"/>
        <v>6369.5440403549974</v>
      </c>
      <c r="X54" s="461">
        <f t="shared" si="19"/>
        <v>6369.5440403549974</v>
      </c>
      <c r="Y54" s="461">
        <f t="shared" si="19"/>
        <v>6369.5440403549974</v>
      </c>
      <c r="Z54" s="461">
        <f t="shared" si="19"/>
        <v>6369.5440403549974</v>
      </c>
      <c r="AA54" s="461">
        <f t="shared" si="19"/>
        <v>6369.5440403549974</v>
      </c>
      <c r="AB54" s="461">
        <f t="shared" si="19"/>
        <v>6369.5440403549974</v>
      </c>
      <c r="AC54" s="461">
        <f t="shared" si="19"/>
        <v>6369.5440403549974</v>
      </c>
      <c r="AD54" s="461">
        <f t="shared" si="19"/>
        <v>6369.5440403549974</v>
      </c>
      <c r="AE54" s="461">
        <f t="shared" si="19"/>
        <v>6369.5440403549974</v>
      </c>
      <c r="AF54" s="461">
        <f t="shared" si="19"/>
        <v>6369.5440403549974</v>
      </c>
      <c r="AG54" s="461">
        <f t="shared" si="19"/>
        <v>6369.5440403549974</v>
      </c>
      <c r="AH54" s="461">
        <f t="shared" si="19"/>
        <v>6369.5440403549974</v>
      </c>
      <c r="AI54" s="461">
        <f t="shared" si="19"/>
        <v>6369.5440403549974</v>
      </c>
      <c r="AJ54" s="461">
        <f t="shared" si="19"/>
        <v>6369.5440403549974</v>
      </c>
      <c r="AK54" s="461">
        <f t="shared" si="19"/>
        <v>6369.5440403549974</v>
      </c>
      <c r="AL54" s="461">
        <f t="shared" si="19"/>
        <v>6369.5440403549974</v>
      </c>
      <c r="AM54" s="461">
        <f t="shared" si="19"/>
        <v>6369.5440403549974</v>
      </c>
      <c r="AN54" s="461">
        <f t="shared" si="19"/>
        <v>6369.5440403549974</v>
      </c>
      <c r="AO54" s="461">
        <f t="shared" si="19"/>
        <v>6369.5440403549974</v>
      </c>
      <c r="AP54" s="461">
        <f t="shared" si="19"/>
        <v>6369.5440403549974</v>
      </c>
      <c r="AQ54" s="461">
        <f t="shared" si="19"/>
        <v>6369.5440403549974</v>
      </c>
      <c r="AR54" s="461">
        <f t="shared" si="19"/>
        <v>6369.5440403549974</v>
      </c>
      <c r="AS54" s="461">
        <f t="shared" si="19"/>
        <v>6369.5440403549974</v>
      </c>
      <c r="AT54" s="461">
        <f t="shared" si="19"/>
        <v>6369.5440403549974</v>
      </c>
      <c r="AU54" s="461">
        <f t="shared" si="19"/>
        <v>6369.5440403549974</v>
      </c>
      <c r="AV54" s="461">
        <f t="shared" si="19"/>
        <v>6369.5440403549974</v>
      </c>
      <c r="AW54" s="461">
        <f t="shared" si="19"/>
        <v>6369.5440403549974</v>
      </c>
      <c r="AX54" s="461">
        <f t="shared" si="19"/>
        <v>0</v>
      </c>
      <c r="AY54" s="461">
        <f t="shared" si="19"/>
        <v>0</v>
      </c>
      <c r="AZ54" s="461">
        <f t="shared" si="19"/>
        <v>0</v>
      </c>
      <c r="BA54" s="461">
        <f t="shared" si="19"/>
        <v>0</v>
      </c>
      <c r="BB54" s="461">
        <f t="shared" si="19"/>
        <v>0</v>
      </c>
      <c r="BC54" s="461">
        <f t="shared" si="19"/>
        <v>0</v>
      </c>
      <c r="BD54" s="461">
        <f t="shared" si="19"/>
        <v>0</v>
      </c>
      <c r="BE54" s="461">
        <f t="shared" si="19"/>
        <v>0</v>
      </c>
      <c r="BF54" s="461">
        <f t="shared" si="19"/>
        <v>0</v>
      </c>
    </row>
    <row r="55" spans="1:58">
      <c r="A55" s="450"/>
      <c r="B55" s="424"/>
      <c r="C55" s="424"/>
      <c r="D55" s="424"/>
      <c r="E55" s="424"/>
      <c r="F55" s="424"/>
      <c r="G55" s="424"/>
      <c r="H55" s="462"/>
      <c r="I55" s="424"/>
      <c r="J55" s="424"/>
      <c r="K55" s="459"/>
      <c r="L55" s="463" t="str">
        <f>'00_Datos_Mercado'!$B$3</f>
        <v xml:space="preserve">a_CS - Creativos </v>
      </c>
      <c r="M55" s="429">
        <f t="shared" ref="M55:M61" si="20">SUM(N55:BF55)</f>
        <v>6167.9990278294008</v>
      </c>
      <c r="N55" s="427">
        <f>IFERROR('07a_ATC'!N55*'07c_ATC_Ajustado'!$L$54,0)</f>
        <v>2960.0891478966928</v>
      </c>
      <c r="O55" s="427">
        <f>IFERROR('07a_ATC'!O55*'07c_ATC_Ajustado'!$L$54,0)</f>
        <v>3207.909879932708</v>
      </c>
      <c r="P55" s="427">
        <f>IFERROR('07a_ATC'!P55*'07c_ATC_Ajustado'!$L$54,0)</f>
        <v>0</v>
      </c>
      <c r="Q55" s="427">
        <f>IFERROR('07a_ATC'!Q55*'07c_ATC_Ajustado'!$L$54,0)</f>
        <v>0</v>
      </c>
      <c r="R55" s="427">
        <f>IFERROR('07a_ATC'!R55*'07c_ATC_Ajustado'!$L$54,0)</f>
        <v>0</v>
      </c>
      <c r="S55" s="427">
        <f>IFERROR('07a_ATC'!S55*'07c_ATC_Ajustado'!$L$54,0)</f>
        <v>0</v>
      </c>
      <c r="T55" s="427">
        <f>IFERROR('07a_ATC'!T55*'07c_ATC_Ajustado'!$L$54,0)</f>
        <v>0</v>
      </c>
      <c r="U55" s="427">
        <f>IFERROR('07a_ATC'!U55*'07c_ATC_Ajustado'!$L$54,0)</f>
        <v>0</v>
      </c>
      <c r="V55" s="427">
        <f>IFERROR('07a_ATC'!V55*'07c_ATC_Ajustado'!$L$54,0)</f>
        <v>0</v>
      </c>
      <c r="W55" s="427">
        <f>IFERROR('07a_ATC'!W55*'07c_ATC_Ajustado'!$L$54,0)</f>
        <v>0</v>
      </c>
      <c r="X55" s="427">
        <f>IFERROR('07a_ATC'!X55*'07c_ATC_Ajustado'!$L$54,0)</f>
        <v>0</v>
      </c>
      <c r="Y55" s="427">
        <f>IFERROR('07a_ATC'!Y55*'07c_ATC_Ajustado'!$L$54,0)</f>
        <v>0</v>
      </c>
      <c r="Z55" s="427">
        <f>IFERROR('07a_ATC'!Z55*'07c_ATC_Ajustado'!$L$54,0)</f>
        <v>0</v>
      </c>
      <c r="AA55" s="427">
        <f>IFERROR('07a_ATC'!AA55*'07c_ATC_Ajustado'!$L$54,0)</f>
        <v>0</v>
      </c>
      <c r="AB55" s="427">
        <f>IFERROR('07a_ATC'!AB55*'07c_ATC_Ajustado'!$L$54,0)</f>
        <v>0</v>
      </c>
      <c r="AC55" s="427">
        <f>IFERROR('07a_ATC'!AC55*'07c_ATC_Ajustado'!$L$54,0)</f>
        <v>0</v>
      </c>
      <c r="AD55" s="427">
        <f>IFERROR('07a_ATC'!AD55*'07c_ATC_Ajustado'!$L$54,0)</f>
        <v>0</v>
      </c>
      <c r="AE55" s="427">
        <f>IFERROR('07a_ATC'!AE55*'07c_ATC_Ajustado'!$L$54,0)</f>
        <v>0</v>
      </c>
      <c r="AF55" s="427">
        <f>IFERROR('07a_ATC'!AF55*'07c_ATC_Ajustado'!$L$54,0)</f>
        <v>0</v>
      </c>
      <c r="AG55" s="427">
        <f>IFERROR('07a_ATC'!AG55*'07c_ATC_Ajustado'!$L$54,0)</f>
        <v>0</v>
      </c>
      <c r="AH55" s="427">
        <f>IFERROR('07a_ATC'!AH55*'07c_ATC_Ajustado'!$L$54,0)</f>
        <v>0</v>
      </c>
      <c r="AI55" s="427">
        <f>IFERROR('07a_ATC'!AI55*'07c_ATC_Ajustado'!$L$54,0)</f>
        <v>0</v>
      </c>
      <c r="AJ55" s="427">
        <f>IFERROR('07a_ATC'!AJ55*'07c_ATC_Ajustado'!$L$54,0)</f>
        <v>0</v>
      </c>
      <c r="AK55" s="427">
        <f>IFERROR('07a_ATC'!AK55*'07c_ATC_Ajustado'!$L$54,0)</f>
        <v>0</v>
      </c>
      <c r="AL55" s="427">
        <f>IFERROR('07a_ATC'!AL55*'07c_ATC_Ajustado'!$L$54,0)</f>
        <v>0</v>
      </c>
      <c r="AM55" s="427">
        <f>IFERROR('07a_ATC'!AM55*'07c_ATC_Ajustado'!$L$54,0)</f>
        <v>0</v>
      </c>
      <c r="AN55" s="427">
        <f>IFERROR('07a_ATC'!AN55*'07c_ATC_Ajustado'!$L$54,0)</f>
        <v>0</v>
      </c>
      <c r="AO55" s="427">
        <f>IFERROR('07a_ATC'!AO55*'07c_ATC_Ajustado'!$L$54,0)</f>
        <v>0</v>
      </c>
      <c r="AP55" s="427">
        <f>IFERROR('07a_ATC'!AP55*'07c_ATC_Ajustado'!$L$54,0)</f>
        <v>0</v>
      </c>
      <c r="AQ55" s="427">
        <f>IFERROR('07a_ATC'!AQ55*'07c_ATC_Ajustado'!$L$54,0)</f>
        <v>0</v>
      </c>
      <c r="AR55" s="427">
        <f>IFERROR('07a_ATC'!AR55*'07c_ATC_Ajustado'!$L$54,0)</f>
        <v>0</v>
      </c>
      <c r="AS55" s="427">
        <f>IFERROR('07a_ATC'!AS55*'07c_ATC_Ajustado'!$L$54,0)</f>
        <v>0</v>
      </c>
      <c r="AT55" s="427">
        <f>IFERROR('07a_ATC'!AT55*'07c_ATC_Ajustado'!$L$54,0)</f>
        <v>0</v>
      </c>
      <c r="AU55" s="427">
        <f>IFERROR('07a_ATC'!AU55*'07c_ATC_Ajustado'!$L$54,0)</f>
        <v>0</v>
      </c>
      <c r="AV55" s="427">
        <f>IFERROR('07a_ATC'!AV55*'07c_ATC_Ajustado'!$L$54,0)</f>
        <v>0</v>
      </c>
      <c r="AW55" s="427">
        <f>IFERROR('07a_ATC'!AW55*'07c_ATC_Ajustado'!$L$54,0)</f>
        <v>0</v>
      </c>
      <c r="AX55" s="427">
        <f>IFERROR('07a_ATC'!AX55*'07c_ATC_Ajustado'!$L$54,0)</f>
        <v>0</v>
      </c>
      <c r="AY55" s="427">
        <f>IFERROR('07a_ATC'!AY55*'07c_ATC_Ajustado'!$L$54,0)</f>
        <v>0</v>
      </c>
      <c r="AZ55" s="427">
        <f>IFERROR('07a_ATC'!AZ55*'07c_ATC_Ajustado'!$L$54,0)</f>
        <v>0</v>
      </c>
      <c r="BA55" s="427">
        <f>IFERROR('07a_ATC'!BA55*'07c_ATC_Ajustado'!$L$54,0)</f>
        <v>0</v>
      </c>
      <c r="BB55" s="427">
        <f>IFERROR('07a_ATC'!BB55*'07c_ATC_Ajustado'!$L$54,0)</f>
        <v>0</v>
      </c>
      <c r="BC55" s="427">
        <f>IFERROR('07a_ATC'!BC55*'07c_ATC_Ajustado'!$L$54,0)</f>
        <v>0</v>
      </c>
      <c r="BD55" s="427">
        <f>IFERROR('07a_ATC'!BD55*'07c_ATC_Ajustado'!$L$54,0)</f>
        <v>0</v>
      </c>
      <c r="BE55" s="427">
        <f>IFERROR('07a_ATC'!BE55*'07c_ATC_Ajustado'!$L$54,0)</f>
        <v>0</v>
      </c>
      <c r="BF55" s="427">
        <f>IFERROR('07a_ATC'!BF55*'07c_ATC_Ajustado'!$L$54,0)</f>
        <v>0</v>
      </c>
    </row>
    <row r="56" spans="1:58">
      <c r="A56" s="450"/>
      <c r="B56" s="424"/>
      <c r="C56" s="424"/>
      <c r="D56" s="424"/>
      <c r="E56" s="424"/>
      <c r="F56" s="424"/>
      <c r="G56" s="424"/>
      <c r="H56" s="462"/>
      <c r="I56" s="424"/>
      <c r="J56" s="424"/>
      <c r="K56" s="459"/>
      <c r="L56" s="464" t="str">
        <f>'00_Datos_Mercado'!$B$4</f>
        <v>b_CS - General (Comercio + Oficinas + Hospedaje)</v>
      </c>
      <c r="M56" s="429">
        <f t="shared" si="20"/>
        <v>22148.028531837121</v>
      </c>
      <c r="N56" s="427">
        <f>IFERROR('07a_ATC'!N56*'07c_ATC_Ajustado'!$L$54,0)</f>
        <v>3720.3090664825963</v>
      </c>
      <c r="O56" s="427">
        <f>IFERROR('07a_ATC'!O56*'07c_ATC_Ajustado'!$L$54,0)</f>
        <v>4003.959555429838</v>
      </c>
      <c r="P56" s="427">
        <f>IFERROR('07a_ATC'!P56*'07c_ATC_Ajustado'!$L$54,0)</f>
        <v>7211.8799549623436</v>
      </c>
      <c r="Q56" s="427">
        <f>IFERROR('07a_ATC'!Q56*'07c_ATC_Ajustado'!$L$54,0)</f>
        <v>7211.8799549623436</v>
      </c>
      <c r="R56" s="427">
        <f>IFERROR('07a_ATC'!R56*'07c_ATC_Ajustado'!$L$54,0)</f>
        <v>0</v>
      </c>
      <c r="S56" s="427">
        <f>IFERROR('07a_ATC'!S56*'07c_ATC_Ajustado'!$L$54,0)</f>
        <v>0</v>
      </c>
      <c r="T56" s="427">
        <f>IFERROR('07a_ATC'!T56*'07c_ATC_Ajustado'!$L$54,0)</f>
        <v>0</v>
      </c>
      <c r="U56" s="427">
        <f>IFERROR('07a_ATC'!U56*'07c_ATC_Ajustado'!$L$54,0)</f>
        <v>0</v>
      </c>
      <c r="V56" s="427">
        <f>IFERROR('07a_ATC'!V56*'07c_ATC_Ajustado'!$L$54,0)</f>
        <v>0</v>
      </c>
      <c r="W56" s="427">
        <f>IFERROR('07a_ATC'!W56*'07c_ATC_Ajustado'!$L$54,0)</f>
        <v>0</v>
      </c>
      <c r="X56" s="427">
        <f>IFERROR('07a_ATC'!X56*'07c_ATC_Ajustado'!$L$54,0)</f>
        <v>0</v>
      </c>
      <c r="Y56" s="427">
        <f>IFERROR('07a_ATC'!Y56*'07c_ATC_Ajustado'!$L$54,0)</f>
        <v>0</v>
      </c>
      <c r="Z56" s="427">
        <f>IFERROR('07a_ATC'!Z56*'07c_ATC_Ajustado'!$L$54,0)</f>
        <v>0</v>
      </c>
      <c r="AA56" s="427">
        <f>IFERROR('07a_ATC'!AA56*'07c_ATC_Ajustado'!$L$54,0)</f>
        <v>0</v>
      </c>
      <c r="AB56" s="427">
        <f>IFERROR('07a_ATC'!AB56*'07c_ATC_Ajustado'!$L$54,0)</f>
        <v>0</v>
      </c>
      <c r="AC56" s="427">
        <f>IFERROR('07a_ATC'!AC56*'07c_ATC_Ajustado'!$L$54,0)</f>
        <v>0</v>
      </c>
      <c r="AD56" s="427">
        <f>IFERROR('07a_ATC'!AD56*'07c_ATC_Ajustado'!$L$54,0)</f>
        <v>0</v>
      </c>
      <c r="AE56" s="427">
        <f>IFERROR('07a_ATC'!AE56*'07c_ATC_Ajustado'!$L$54,0)</f>
        <v>0</v>
      </c>
      <c r="AF56" s="427">
        <f>IFERROR('07a_ATC'!AF56*'07c_ATC_Ajustado'!$L$54,0)</f>
        <v>0</v>
      </c>
      <c r="AG56" s="427">
        <f>IFERROR('07a_ATC'!AG56*'07c_ATC_Ajustado'!$L$54,0)</f>
        <v>0</v>
      </c>
      <c r="AH56" s="427">
        <f>IFERROR('07a_ATC'!AH56*'07c_ATC_Ajustado'!$L$54,0)</f>
        <v>0</v>
      </c>
      <c r="AI56" s="427">
        <f>IFERROR('07a_ATC'!AI56*'07c_ATC_Ajustado'!$L$54,0)</f>
        <v>0</v>
      </c>
      <c r="AJ56" s="427">
        <f>IFERROR('07a_ATC'!AJ56*'07c_ATC_Ajustado'!$L$54,0)</f>
        <v>0</v>
      </c>
      <c r="AK56" s="427">
        <f>IFERROR('07a_ATC'!AK56*'07c_ATC_Ajustado'!$L$54,0)</f>
        <v>0</v>
      </c>
      <c r="AL56" s="427">
        <f>IFERROR('07a_ATC'!AL56*'07c_ATC_Ajustado'!$L$54,0)</f>
        <v>0</v>
      </c>
      <c r="AM56" s="427">
        <f>IFERROR('07a_ATC'!AM56*'07c_ATC_Ajustado'!$L$54,0)</f>
        <v>0</v>
      </c>
      <c r="AN56" s="427">
        <f>IFERROR('07a_ATC'!AN56*'07c_ATC_Ajustado'!$L$54,0)</f>
        <v>0</v>
      </c>
      <c r="AO56" s="427">
        <f>IFERROR('07a_ATC'!AO56*'07c_ATC_Ajustado'!$L$54,0)</f>
        <v>0</v>
      </c>
      <c r="AP56" s="427">
        <f>IFERROR('07a_ATC'!AP56*'07c_ATC_Ajustado'!$L$54,0)</f>
        <v>0</v>
      </c>
      <c r="AQ56" s="427">
        <f>IFERROR('07a_ATC'!AQ56*'07c_ATC_Ajustado'!$L$54,0)</f>
        <v>0</v>
      </c>
      <c r="AR56" s="427">
        <f>IFERROR('07a_ATC'!AR56*'07c_ATC_Ajustado'!$L$54,0)</f>
        <v>0</v>
      </c>
      <c r="AS56" s="427">
        <f>IFERROR('07a_ATC'!AS56*'07c_ATC_Ajustado'!$L$54,0)</f>
        <v>0</v>
      </c>
      <c r="AT56" s="427">
        <f>IFERROR('07a_ATC'!AT56*'07c_ATC_Ajustado'!$L$54,0)</f>
        <v>0</v>
      </c>
      <c r="AU56" s="427">
        <f>IFERROR('07a_ATC'!AU56*'07c_ATC_Ajustado'!$L$54,0)</f>
        <v>0</v>
      </c>
      <c r="AV56" s="427">
        <f>IFERROR('07a_ATC'!AV56*'07c_ATC_Ajustado'!$L$54,0)</f>
        <v>0</v>
      </c>
      <c r="AW56" s="427">
        <f>IFERROR('07a_ATC'!AW56*'07c_ATC_Ajustado'!$L$54,0)</f>
        <v>0</v>
      </c>
      <c r="AX56" s="427">
        <f>IFERROR('07a_ATC'!AX56*'07c_ATC_Ajustado'!$L$54,0)</f>
        <v>0</v>
      </c>
      <c r="AY56" s="427">
        <f>IFERROR('07a_ATC'!AY56*'07c_ATC_Ajustado'!$L$54,0)</f>
        <v>0</v>
      </c>
      <c r="AZ56" s="427">
        <f>IFERROR('07a_ATC'!AZ56*'07c_ATC_Ajustado'!$L$54,0)</f>
        <v>0</v>
      </c>
      <c r="BA56" s="427">
        <f>IFERROR('07a_ATC'!BA56*'07c_ATC_Ajustado'!$L$54,0)</f>
        <v>0</v>
      </c>
      <c r="BB56" s="427">
        <f>IFERROR('07a_ATC'!BB56*'07c_ATC_Ajustado'!$L$54,0)</f>
        <v>0</v>
      </c>
      <c r="BC56" s="427">
        <f>IFERROR('07a_ATC'!BC56*'07c_ATC_Ajustado'!$L$54,0)</f>
        <v>0</v>
      </c>
      <c r="BD56" s="427">
        <f>IFERROR('07a_ATC'!BD56*'07c_ATC_Ajustado'!$L$54,0)</f>
        <v>0</v>
      </c>
      <c r="BE56" s="427">
        <f>IFERROR('07a_ATC'!BE56*'07c_ATC_Ajustado'!$L$54,0)</f>
        <v>0</v>
      </c>
      <c r="BF56" s="427">
        <f>IFERROR('07a_ATC'!BF56*'07c_ATC_Ajustado'!$L$54,0)</f>
        <v>0</v>
      </c>
    </row>
    <row r="57" spans="1:58">
      <c r="A57" s="450"/>
      <c r="B57" s="424"/>
      <c r="C57" s="424"/>
      <c r="D57" s="424"/>
      <c r="E57" s="424"/>
      <c r="F57" s="424"/>
      <c r="G57" s="424"/>
      <c r="H57" s="462"/>
      <c r="I57" s="424"/>
      <c r="J57" s="424"/>
      <c r="K57" s="459"/>
      <c r="L57" s="465" t="str">
        <f>'00_Datos_Mercado'!$B$5</f>
        <v>c_CS - Grandes Superficies</v>
      </c>
      <c r="M57" s="429">
        <f t="shared" si="20"/>
        <v>0</v>
      </c>
      <c r="N57" s="427">
        <f>IFERROR('07a_ATC'!N57*'07c_ATC_Ajustado'!$L$54,0)</f>
        <v>0</v>
      </c>
      <c r="O57" s="427">
        <f>IFERROR('07a_ATC'!O57*'07c_ATC_Ajustado'!$L$54,0)</f>
        <v>0</v>
      </c>
      <c r="P57" s="427">
        <f>IFERROR('07a_ATC'!P57*'07c_ATC_Ajustado'!$L$54,0)</f>
        <v>0</v>
      </c>
      <c r="Q57" s="427">
        <f>IFERROR('07a_ATC'!Q57*'07c_ATC_Ajustado'!$L$54,0)</f>
        <v>0</v>
      </c>
      <c r="R57" s="427">
        <f>IFERROR('07a_ATC'!R57*'07c_ATC_Ajustado'!$L$54,0)</f>
        <v>0</v>
      </c>
      <c r="S57" s="427">
        <f>IFERROR('07a_ATC'!S57*'07c_ATC_Ajustado'!$L$54,0)</f>
        <v>0</v>
      </c>
      <c r="T57" s="427">
        <f>IFERROR('07a_ATC'!T57*'07c_ATC_Ajustado'!$L$54,0)</f>
        <v>0</v>
      </c>
      <c r="U57" s="427">
        <f>IFERROR('07a_ATC'!U57*'07c_ATC_Ajustado'!$L$54,0)</f>
        <v>0</v>
      </c>
      <c r="V57" s="427">
        <f>IFERROR('07a_ATC'!V57*'07c_ATC_Ajustado'!$L$54,0)</f>
        <v>0</v>
      </c>
      <c r="W57" s="427">
        <f>IFERROR('07a_ATC'!W57*'07c_ATC_Ajustado'!$L$54,0)</f>
        <v>0</v>
      </c>
      <c r="X57" s="427">
        <f>IFERROR('07a_ATC'!X57*'07c_ATC_Ajustado'!$L$54,0)</f>
        <v>0</v>
      </c>
      <c r="Y57" s="427">
        <f>IFERROR('07a_ATC'!Y57*'07c_ATC_Ajustado'!$L$54,0)</f>
        <v>0</v>
      </c>
      <c r="Z57" s="427">
        <f>IFERROR('07a_ATC'!Z57*'07c_ATC_Ajustado'!$L$54,0)</f>
        <v>0</v>
      </c>
      <c r="AA57" s="427">
        <f>IFERROR('07a_ATC'!AA57*'07c_ATC_Ajustado'!$L$54,0)</f>
        <v>0</v>
      </c>
      <c r="AB57" s="427">
        <f>IFERROR('07a_ATC'!AB57*'07c_ATC_Ajustado'!$L$54,0)</f>
        <v>0</v>
      </c>
      <c r="AC57" s="427">
        <f>IFERROR('07a_ATC'!AC57*'07c_ATC_Ajustado'!$L$54,0)</f>
        <v>0</v>
      </c>
      <c r="AD57" s="427">
        <f>IFERROR('07a_ATC'!AD57*'07c_ATC_Ajustado'!$L$54,0)</f>
        <v>0</v>
      </c>
      <c r="AE57" s="427">
        <f>IFERROR('07a_ATC'!AE57*'07c_ATC_Ajustado'!$L$54,0)</f>
        <v>0</v>
      </c>
      <c r="AF57" s="427">
        <f>IFERROR('07a_ATC'!AF57*'07c_ATC_Ajustado'!$L$54,0)</f>
        <v>0</v>
      </c>
      <c r="AG57" s="427">
        <f>IFERROR('07a_ATC'!AG57*'07c_ATC_Ajustado'!$L$54,0)</f>
        <v>0</v>
      </c>
      <c r="AH57" s="427">
        <f>IFERROR('07a_ATC'!AH57*'07c_ATC_Ajustado'!$L$54,0)</f>
        <v>0</v>
      </c>
      <c r="AI57" s="427">
        <f>IFERROR('07a_ATC'!AI57*'07c_ATC_Ajustado'!$L$54,0)</f>
        <v>0</v>
      </c>
      <c r="AJ57" s="427">
        <f>IFERROR('07a_ATC'!AJ57*'07c_ATC_Ajustado'!$L$54,0)</f>
        <v>0</v>
      </c>
      <c r="AK57" s="427">
        <f>IFERROR('07a_ATC'!AK57*'07c_ATC_Ajustado'!$L$54,0)</f>
        <v>0</v>
      </c>
      <c r="AL57" s="427">
        <f>IFERROR('07a_ATC'!AL57*'07c_ATC_Ajustado'!$L$54,0)</f>
        <v>0</v>
      </c>
      <c r="AM57" s="427">
        <f>IFERROR('07a_ATC'!AM57*'07c_ATC_Ajustado'!$L$54,0)</f>
        <v>0</v>
      </c>
      <c r="AN57" s="427">
        <f>IFERROR('07a_ATC'!AN57*'07c_ATC_Ajustado'!$L$54,0)</f>
        <v>0</v>
      </c>
      <c r="AO57" s="427">
        <f>IFERROR('07a_ATC'!AO57*'07c_ATC_Ajustado'!$L$54,0)</f>
        <v>0</v>
      </c>
      <c r="AP57" s="427">
        <f>IFERROR('07a_ATC'!AP57*'07c_ATC_Ajustado'!$L$54,0)</f>
        <v>0</v>
      </c>
      <c r="AQ57" s="427">
        <f>IFERROR('07a_ATC'!AQ57*'07c_ATC_Ajustado'!$L$54,0)</f>
        <v>0</v>
      </c>
      <c r="AR57" s="427">
        <f>IFERROR('07a_ATC'!AR57*'07c_ATC_Ajustado'!$L$54,0)</f>
        <v>0</v>
      </c>
      <c r="AS57" s="427">
        <f>IFERROR('07a_ATC'!AS57*'07c_ATC_Ajustado'!$L$54,0)</f>
        <v>0</v>
      </c>
      <c r="AT57" s="427">
        <f>IFERROR('07a_ATC'!AT57*'07c_ATC_Ajustado'!$L$54,0)</f>
        <v>0</v>
      </c>
      <c r="AU57" s="427">
        <f>IFERROR('07a_ATC'!AU57*'07c_ATC_Ajustado'!$L$54,0)</f>
        <v>0</v>
      </c>
      <c r="AV57" s="427">
        <f>IFERROR('07a_ATC'!AV57*'07c_ATC_Ajustado'!$L$54,0)</f>
        <v>0</v>
      </c>
      <c r="AW57" s="427">
        <f>IFERROR('07a_ATC'!AW57*'07c_ATC_Ajustado'!$L$54,0)</f>
        <v>0</v>
      </c>
      <c r="AX57" s="427">
        <f>IFERROR('07a_ATC'!AX57*'07c_ATC_Ajustado'!$L$54,0)</f>
        <v>0</v>
      </c>
      <c r="AY57" s="427">
        <f>IFERROR('07a_ATC'!AY57*'07c_ATC_Ajustado'!$L$54,0)</f>
        <v>0</v>
      </c>
      <c r="AZ57" s="427">
        <f>IFERROR('07a_ATC'!AZ57*'07c_ATC_Ajustado'!$L$54,0)</f>
        <v>0</v>
      </c>
      <c r="BA57" s="427">
        <f>IFERROR('07a_ATC'!BA57*'07c_ATC_Ajustado'!$L$54,0)</f>
        <v>0</v>
      </c>
      <c r="BB57" s="427">
        <f>IFERROR('07a_ATC'!BB57*'07c_ATC_Ajustado'!$L$54,0)</f>
        <v>0</v>
      </c>
      <c r="BC57" s="427">
        <f>IFERROR('07a_ATC'!BC57*'07c_ATC_Ajustado'!$L$54,0)</f>
        <v>0</v>
      </c>
      <c r="BD57" s="427">
        <f>IFERROR('07a_ATC'!BD57*'07c_ATC_Ajustado'!$L$54,0)</f>
        <v>0</v>
      </c>
      <c r="BE57" s="427">
        <f>IFERROR('07a_ATC'!BE57*'07c_ATC_Ajustado'!$L$54,0)</f>
        <v>0</v>
      </c>
      <c r="BF57" s="427">
        <f>IFERROR('07a_ATC'!BF57*'07c_ATC_Ajustado'!$L$54,0)</f>
        <v>0</v>
      </c>
    </row>
    <row r="58" spans="1:58">
      <c r="A58" s="450"/>
      <c r="B58" s="424"/>
      <c r="C58" s="424"/>
      <c r="D58" s="424"/>
      <c r="E58" s="424"/>
      <c r="F58" s="424"/>
      <c r="G58" s="424"/>
      <c r="H58" s="462"/>
      <c r="I58" s="424"/>
      <c r="J58" s="424"/>
      <c r="K58" s="459"/>
      <c r="L58" s="466" t="str">
        <f>'00_Datos_Mercado'!$B$6</f>
        <v>d_CS - Torre Empresarial (Oficinas + Hospedaje)</v>
      </c>
      <c r="M58" s="429">
        <f t="shared" si="20"/>
        <v>0</v>
      </c>
      <c r="N58" s="427">
        <f>IFERROR('07a_ATC'!N58*'07c_ATC_Ajustado'!$L$54,0)</f>
        <v>0</v>
      </c>
      <c r="O58" s="427">
        <f>IFERROR('07a_ATC'!O58*'07c_ATC_Ajustado'!$L$54,0)</f>
        <v>0</v>
      </c>
      <c r="P58" s="427">
        <f>IFERROR('07a_ATC'!P58*'07c_ATC_Ajustado'!$L$54,0)</f>
        <v>0</v>
      </c>
      <c r="Q58" s="427">
        <f>IFERROR('07a_ATC'!Q58*'07c_ATC_Ajustado'!$L$54,0)</f>
        <v>0</v>
      </c>
      <c r="R58" s="427">
        <f>IFERROR('07a_ATC'!R58*'07c_ATC_Ajustado'!$L$54,0)</f>
        <v>0</v>
      </c>
      <c r="S58" s="427">
        <f>IFERROR('07a_ATC'!S58*'07c_ATC_Ajustado'!$L$54,0)</f>
        <v>0</v>
      </c>
      <c r="T58" s="427">
        <f>IFERROR('07a_ATC'!T58*'07c_ATC_Ajustado'!$L$54,0)</f>
        <v>0</v>
      </c>
      <c r="U58" s="427">
        <f>IFERROR('07a_ATC'!U58*'07c_ATC_Ajustado'!$L$54,0)</f>
        <v>0</v>
      </c>
      <c r="V58" s="427">
        <f>IFERROR('07a_ATC'!V58*'07c_ATC_Ajustado'!$L$54,0)</f>
        <v>0</v>
      </c>
      <c r="W58" s="427">
        <f>IFERROR('07a_ATC'!W58*'07c_ATC_Ajustado'!$L$54,0)</f>
        <v>0</v>
      </c>
      <c r="X58" s="427">
        <f>IFERROR('07a_ATC'!X58*'07c_ATC_Ajustado'!$L$54,0)</f>
        <v>0</v>
      </c>
      <c r="Y58" s="427">
        <f>IFERROR('07a_ATC'!Y58*'07c_ATC_Ajustado'!$L$54,0)</f>
        <v>0</v>
      </c>
      <c r="Z58" s="427">
        <f>IFERROR('07a_ATC'!Z58*'07c_ATC_Ajustado'!$L$54,0)</f>
        <v>0</v>
      </c>
      <c r="AA58" s="427">
        <f>IFERROR('07a_ATC'!AA58*'07c_ATC_Ajustado'!$L$54,0)</f>
        <v>0</v>
      </c>
      <c r="AB58" s="427">
        <f>IFERROR('07a_ATC'!AB58*'07c_ATC_Ajustado'!$L$54,0)</f>
        <v>0</v>
      </c>
      <c r="AC58" s="427">
        <f>IFERROR('07a_ATC'!AC58*'07c_ATC_Ajustado'!$L$54,0)</f>
        <v>0</v>
      </c>
      <c r="AD58" s="427">
        <f>IFERROR('07a_ATC'!AD58*'07c_ATC_Ajustado'!$L$54,0)</f>
        <v>0</v>
      </c>
      <c r="AE58" s="427">
        <f>IFERROR('07a_ATC'!AE58*'07c_ATC_Ajustado'!$L$54,0)</f>
        <v>0</v>
      </c>
      <c r="AF58" s="427">
        <f>IFERROR('07a_ATC'!AF58*'07c_ATC_Ajustado'!$L$54,0)</f>
        <v>0</v>
      </c>
      <c r="AG58" s="427">
        <f>IFERROR('07a_ATC'!AG58*'07c_ATC_Ajustado'!$L$54,0)</f>
        <v>0</v>
      </c>
      <c r="AH58" s="427">
        <f>IFERROR('07a_ATC'!AH58*'07c_ATC_Ajustado'!$L$54,0)</f>
        <v>0</v>
      </c>
      <c r="AI58" s="427">
        <f>IFERROR('07a_ATC'!AI58*'07c_ATC_Ajustado'!$L$54,0)</f>
        <v>0</v>
      </c>
      <c r="AJ58" s="427">
        <f>IFERROR('07a_ATC'!AJ58*'07c_ATC_Ajustado'!$L$54,0)</f>
        <v>0</v>
      </c>
      <c r="AK58" s="427">
        <f>IFERROR('07a_ATC'!AK58*'07c_ATC_Ajustado'!$L$54,0)</f>
        <v>0</v>
      </c>
      <c r="AL58" s="427">
        <f>IFERROR('07a_ATC'!AL58*'07c_ATC_Ajustado'!$L$54,0)</f>
        <v>0</v>
      </c>
      <c r="AM58" s="427">
        <f>IFERROR('07a_ATC'!AM58*'07c_ATC_Ajustado'!$L$54,0)</f>
        <v>0</v>
      </c>
      <c r="AN58" s="427">
        <f>IFERROR('07a_ATC'!AN58*'07c_ATC_Ajustado'!$L$54,0)</f>
        <v>0</v>
      </c>
      <c r="AO58" s="427">
        <f>IFERROR('07a_ATC'!AO58*'07c_ATC_Ajustado'!$L$54,0)</f>
        <v>0</v>
      </c>
      <c r="AP58" s="427">
        <f>IFERROR('07a_ATC'!AP58*'07c_ATC_Ajustado'!$L$54,0)</f>
        <v>0</v>
      </c>
      <c r="AQ58" s="427">
        <f>IFERROR('07a_ATC'!AQ58*'07c_ATC_Ajustado'!$L$54,0)</f>
        <v>0</v>
      </c>
      <c r="AR58" s="427">
        <f>IFERROR('07a_ATC'!AR58*'07c_ATC_Ajustado'!$L$54,0)</f>
        <v>0</v>
      </c>
      <c r="AS58" s="427">
        <f>IFERROR('07a_ATC'!AS58*'07c_ATC_Ajustado'!$L$54,0)</f>
        <v>0</v>
      </c>
      <c r="AT58" s="427">
        <f>IFERROR('07a_ATC'!AT58*'07c_ATC_Ajustado'!$L$54,0)</f>
        <v>0</v>
      </c>
      <c r="AU58" s="427">
        <f>IFERROR('07a_ATC'!AU58*'07c_ATC_Ajustado'!$L$54,0)</f>
        <v>0</v>
      </c>
      <c r="AV58" s="427">
        <f>IFERROR('07a_ATC'!AV58*'07c_ATC_Ajustado'!$L$54,0)</f>
        <v>0</v>
      </c>
      <c r="AW58" s="427">
        <f>IFERROR('07a_ATC'!AW58*'07c_ATC_Ajustado'!$L$54,0)</f>
        <v>0</v>
      </c>
      <c r="AX58" s="427">
        <f>IFERROR('07a_ATC'!AX58*'07c_ATC_Ajustado'!$L$54,0)</f>
        <v>0</v>
      </c>
      <c r="AY58" s="427">
        <f>IFERROR('07a_ATC'!AY58*'07c_ATC_Ajustado'!$L$54,0)</f>
        <v>0</v>
      </c>
      <c r="AZ58" s="427">
        <f>IFERROR('07a_ATC'!AZ58*'07c_ATC_Ajustado'!$L$54,0)</f>
        <v>0</v>
      </c>
      <c r="BA58" s="427">
        <f>IFERROR('07a_ATC'!BA58*'07c_ATC_Ajustado'!$L$54,0)</f>
        <v>0</v>
      </c>
      <c r="BB58" s="427">
        <f>IFERROR('07a_ATC'!BB58*'07c_ATC_Ajustado'!$L$54,0)</f>
        <v>0</v>
      </c>
      <c r="BC58" s="427">
        <f>IFERROR('07a_ATC'!BC58*'07c_ATC_Ajustado'!$L$54,0)</f>
        <v>0</v>
      </c>
      <c r="BD58" s="427">
        <f>IFERROR('07a_ATC'!BD58*'07c_ATC_Ajustado'!$L$54,0)</f>
        <v>0</v>
      </c>
      <c r="BE58" s="427">
        <f>IFERROR('07a_ATC'!BE58*'07c_ATC_Ajustado'!$L$54,0)</f>
        <v>0</v>
      </c>
      <c r="BF58" s="427">
        <f>IFERROR('07a_ATC'!BF58*'07c_ATC_Ajustado'!$L$54,0)</f>
        <v>0</v>
      </c>
    </row>
    <row r="59" spans="1:58">
      <c r="A59" s="450"/>
      <c r="B59" s="424"/>
      <c r="C59" s="424"/>
      <c r="D59" s="424"/>
      <c r="E59" s="424"/>
      <c r="F59" s="424"/>
      <c r="G59" s="424"/>
      <c r="H59" s="462"/>
      <c r="I59" s="424"/>
      <c r="J59" s="424"/>
      <c r="K59" s="459"/>
      <c r="L59" s="467" t="str">
        <f>'00_Datos_Mercado'!$B$7</f>
        <v>e_CS - Innovation (H, CS, Gamers)</v>
      </c>
      <c r="M59" s="429">
        <f t="shared" si="20"/>
        <v>0</v>
      </c>
      <c r="N59" s="427">
        <f>IFERROR('07a_ATC'!N59*'07c_ATC_Ajustado'!$L$54,0)</f>
        <v>0</v>
      </c>
      <c r="O59" s="427">
        <f>IFERROR('07a_ATC'!O59*'07c_ATC_Ajustado'!$L$54,0)</f>
        <v>0</v>
      </c>
      <c r="P59" s="427">
        <f>IFERROR('07a_ATC'!P59*'07c_ATC_Ajustado'!$L$54,0)</f>
        <v>0</v>
      </c>
      <c r="Q59" s="427">
        <f>IFERROR('07a_ATC'!Q59*'07c_ATC_Ajustado'!$L$54,0)</f>
        <v>0</v>
      </c>
      <c r="R59" s="427">
        <f>IFERROR('07a_ATC'!R59*'07c_ATC_Ajustado'!$L$54,0)</f>
        <v>0</v>
      </c>
      <c r="S59" s="427">
        <f>IFERROR('07a_ATC'!S59*'07c_ATC_Ajustado'!$L$54,0)</f>
        <v>0</v>
      </c>
      <c r="T59" s="427">
        <f>IFERROR('07a_ATC'!T59*'07c_ATC_Ajustado'!$L$54,0)</f>
        <v>0</v>
      </c>
      <c r="U59" s="427">
        <f>IFERROR('07a_ATC'!U59*'07c_ATC_Ajustado'!$L$54,0)</f>
        <v>0</v>
      </c>
      <c r="V59" s="427">
        <f>IFERROR('07a_ATC'!V59*'07c_ATC_Ajustado'!$L$54,0)</f>
        <v>0</v>
      </c>
      <c r="W59" s="427">
        <f>IFERROR('07a_ATC'!W59*'07c_ATC_Ajustado'!$L$54,0)</f>
        <v>0</v>
      </c>
      <c r="X59" s="427">
        <f>IFERROR('07a_ATC'!X59*'07c_ATC_Ajustado'!$L$54,0)</f>
        <v>0</v>
      </c>
      <c r="Y59" s="427">
        <f>IFERROR('07a_ATC'!Y59*'07c_ATC_Ajustado'!$L$54,0)</f>
        <v>0</v>
      </c>
      <c r="Z59" s="427">
        <f>IFERROR('07a_ATC'!Z59*'07c_ATC_Ajustado'!$L$54,0)</f>
        <v>0</v>
      </c>
      <c r="AA59" s="427">
        <f>IFERROR('07a_ATC'!AA59*'07c_ATC_Ajustado'!$L$54,0)</f>
        <v>0</v>
      </c>
      <c r="AB59" s="427">
        <f>IFERROR('07a_ATC'!AB59*'07c_ATC_Ajustado'!$L$54,0)</f>
        <v>0</v>
      </c>
      <c r="AC59" s="427">
        <f>IFERROR('07a_ATC'!AC59*'07c_ATC_Ajustado'!$L$54,0)</f>
        <v>0</v>
      </c>
      <c r="AD59" s="427">
        <f>IFERROR('07a_ATC'!AD59*'07c_ATC_Ajustado'!$L$54,0)</f>
        <v>0</v>
      </c>
      <c r="AE59" s="427">
        <f>IFERROR('07a_ATC'!AE59*'07c_ATC_Ajustado'!$L$54,0)</f>
        <v>0</v>
      </c>
      <c r="AF59" s="427">
        <f>IFERROR('07a_ATC'!AF59*'07c_ATC_Ajustado'!$L$54,0)</f>
        <v>0</v>
      </c>
      <c r="AG59" s="427">
        <f>IFERROR('07a_ATC'!AG59*'07c_ATC_Ajustado'!$L$54,0)</f>
        <v>0</v>
      </c>
      <c r="AH59" s="427">
        <f>IFERROR('07a_ATC'!AH59*'07c_ATC_Ajustado'!$L$54,0)</f>
        <v>0</v>
      </c>
      <c r="AI59" s="427">
        <f>IFERROR('07a_ATC'!AI59*'07c_ATC_Ajustado'!$L$54,0)</f>
        <v>0</v>
      </c>
      <c r="AJ59" s="427">
        <f>IFERROR('07a_ATC'!AJ59*'07c_ATC_Ajustado'!$L$54,0)</f>
        <v>0</v>
      </c>
      <c r="AK59" s="427">
        <f>IFERROR('07a_ATC'!AK59*'07c_ATC_Ajustado'!$L$54,0)</f>
        <v>0</v>
      </c>
      <c r="AL59" s="427">
        <f>IFERROR('07a_ATC'!AL59*'07c_ATC_Ajustado'!$L$54,0)</f>
        <v>0</v>
      </c>
      <c r="AM59" s="427">
        <f>IFERROR('07a_ATC'!AM59*'07c_ATC_Ajustado'!$L$54,0)</f>
        <v>0</v>
      </c>
      <c r="AN59" s="427">
        <f>IFERROR('07a_ATC'!AN59*'07c_ATC_Ajustado'!$L$54,0)</f>
        <v>0</v>
      </c>
      <c r="AO59" s="427">
        <f>IFERROR('07a_ATC'!AO59*'07c_ATC_Ajustado'!$L$54,0)</f>
        <v>0</v>
      </c>
      <c r="AP59" s="427">
        <f>IFERROR('07a_ATC'!AP59*'07c_ATC_Ajustado'!$L$54,0)</f>
        <v>0</v>
      </c>
      <c r="AQ59" s="427">
        <f>IFERROR('07a_ATC'!AQ59*'07c_ATC_Ajustado'!$L$54,0)</f>
        <v>0</v>
      </c>
      <c r="AR59" s="427">
        <f>IFERROR('07a_ATC'!AR59*'07c_ATC_Ajustado'!$L$54,0)</f>
        <v>0</v>
      </c>
      <c r="AS59" s="427">
        <f>IFERROR('07a_ATC'!AS59*'07c_ATC_Ajustado'!$L$54,0)</f>
        <v>0</v>
      </c>
      <c r="AT59" s="427">
        <f>IFERROR('07a_ATC'!AT59*'07c_ATC_Ajustado'!$L$54,0)</f>
        <v>0</v>
      </c>
      <c r="AU59" s="427">
        <f>IFERROR('07a_ATC'!AU59*'07c_ATC_Ajustado'!$L$54,0)</f>
        <v>0</v>
      </c>
      <c r="AV59" s="427">
        <f>IFERROR('07a_ATC'!AV59*'07c_ATC_Ajustado'!$L$54,0)</f>
        <v>0</v>
      </c>
      <c r="AW59" s="427">
        <f>IFERROR('07a_ATC'!AW59*'07c_ATC_Ajustado'!$L$54,0)</f>
        <v>0</v>
      </c>
      <c r="AX59" s="427">
        <f>IFERROR('07a_ATC'!AX59*'07c_ATC_Ajustado'!$L$54,0)</f>
        <v>0</v>
      </c>
      <c r="AY59" s="427">
        <f>IFERROR('07a_ATC'!AY59*'07c_ATC_Ajustado'!$L$54,0)</f>
        <v>0</v>
      </c>
      <c r="AZ59" s="427">
        <f>IFERROR('07a_ATC'!AZ59*'07c_ATC_Ajustado'!$L$54,0)</f>
        <v>0</v>
      </c>
      <c r="BA59" s="427">
        <f>IFERROR('07a_ATC'!BA59*'07c_ATC_Ajustado'!$L$54,0)</f>
        <v>0</v>
      </c>
      <c r="BB59" s="427">
        <f>IFERROR('07a_ATC'!BB59*'07c_ATC_Ajustado'!$L$54,0)</f>
        <v>0</v>
      </c>
      <c r="BC59" s="427">
        <f>IFERROR('07a_ATC'!BC59*'07c_ATC_Ajustado'!$L$54,0)</f>
        <v>0</v>
      </c>
      <c r="BD59" s="427">
        <f>IFERROR('07a_ATC'!BD59*'07c_ATC_Ajustado'!$L$54,0)</f>
        <v>0</v>
      </c>
      <c r="BE59" s="427">
        <f>IFERROR('07a_ATC'!BE59*'07c_ATC_Ajustado'!$L$54,0)</f>
        <v>0</v>
      </c>
      <c r="BF59" s="427">
        <f>IFERROR('07a_ATC'!BF59*'07c_ATC_Ajustado'!$L$54,0)</f>
        <v>0</v>
      </c>
    </row>
    <row r="60" spans="1:58">
      <c r="A60" s="450"/>
      <c r="B60" s="424"/>
      <c r="C60" s="424"/>
      <c r="D60" s="424"/>
      <c r="E60" s="424"/>
      <c r="F60" s="424"/>
      <c r="G60" s="424"/>
      <c r="H60" s="462"/>
      <c r="I60" s="424"/>
      <c r="J60" s="424"/>
      <c r="K60" s="459"/>
      <c r="L60" s="468" t="str">
        <f>'00_Datos_Mercado'!$B$8</f>
        <v xml:space="preserve">f_RES - VIS Ru </v>
      </c>
      <c r="M60" s="429">
        <f t="shared" si="20"/>
        <v>25478.17616141999</v>
      </c>
      <c r="N60" s="427">
        <f>IFERROR('07a_ATC'!N60*'07c_ATC_Ajustado'!$L$54,0)</f>
        <v>0</v>
      </c>
      <c r="O60" s="427">
        <f>IFERROR('07a_ATC'!O60*'07c_ATC_Ajustado'!$L$54,0)</f>
        <v>0</v>
      </c>
      <c r="P60" s="427">
        <f>IFERROR('07a_ATC'!P60*'07c_ATC_Ajustado'!$L$54,0)</f>
        <v>0</v>
      </c>
      <c r="Q60" s="427">
        <f>IFERROR('07a_ATC'!Q60*'07c_ATC_Ajustado'!$L$54,0)</f>
        <v>0</v>
      </c>
      <c r="R60" s="427">
        <f>IFERROR('07a_ATC'!R60*'07c_ATC_Ajustado'!$L$54,0)</f>
        <v>0</v>
      </c>
      <c r="S60" s="427">
        <f>IFERROR('07a_ATC'!S60*'07c_ATC_Ajustado'!$L$54,0)</f>
        <v>6369.5440403549974</v>
      </c>
      <c r="T60" s="427">
        <f>IFERROR('07a_ATC'!T60*'07c_ATC_Ajustado'!$L$54,0)</f>
        <v>6369.5440403549974</v>
      </c>
      <c r="U60" s="427">
        <f>IFERROR('07a_ATC'!U60*'07c_ATC_Ajustado'!$L$54,0)</f>
        <v>6369.5440403549974</v>
      </c>
      <c r="V60" s="427">
        <f>IFERROR('07a_ATC'!V60*'07c_ATC_Ajustado'!$L$54,0)</f>
        <v>6369.5440403549974</v>
      </c>
      <c r="W60" s="427">
        <f>IFERROR('07a_ATC'!W60*'07c_ATC_Ajustado'!$L$54,0)</f>
        <v>0</v>
      </c>
      <c r="X60" s="427">
        <f>IFERROR('07a_ATC'!X60*'07c_ATC_Ajustado'!$L$54,0)</f>
        <v>0</v>
      </c>
      <c r="Y60" s="427">
        <f>IFERROR('07a_ATC'!Y60*'07c_ATC_Ajustado'!$L$54,0)</f>
        <v>0</v>
      </c>
      <c r="Z60" s="427">
        <f>IFERROR('07a_ATC'!Z60*'07c_ATC_Ajustado'!$L$54,0)</f>
        <v>0</v>
      </c>
      <c r="AA60" s="427">
        <f>IFERROR('07a_ATC'!AA60*'07c_ATC_Ajustado'!$L$54,0)</f>
        <v>0</v>
      </c>
      <c r="AB60" s="427">
        <f>IFERROR('07a_ATC'!AB60*'07c_ATC_Ajustado'!$L$54,0)</f>
        <v>0</v>
      </c>
      <c r="AC60" s="427">
        <f>IFERROR('07a_ATC'!AC60*'07c_ATC_Ajustado'!$L$54,0)</f>
        <v>0</v>
      </c>
      <c r="AD60" s="427">
        <f>IFERROR('07a_ATC'!AD60*'07c_ATC_Ajustado'!$L$54,0)</f>
        <v>0</v>
      </c>
      <c r="AE60" s="427">
        <f>IFERROR('07a_ATC'!AE60*'07c_ATC_Ajustado'!$L$54,0)</f>
        <v>0</v>
      </c>
      <c r="AF60" s="427">
        <f>IFERROR('07a_ATC'!AF60*'07c_ATC_Ajustado'!$L$54,0)</f>
        <v>0</v>
      </c>
      <c r="AG60" s="427">
        <f>IFERROR('07a_ATC'!AG60*'07c_ATC_Ajustado'!$L$54,0)</f>
        <v>0</v>
      </c>
      <c r="AH60" s="427">
        <f>IFERROR('07a_ATC'!AH60*'07c_ATC_Ajustado'!$L$54,0)</f>
        <v>0</v>
      </c>
      <c r="AI60" s="427">
        <f>IFERROR('07a_ATC'!AI60*'07c_ATC_Ajustado'!$L$54,0)</f>
        <v>0</v>
      </c>
      <c r="AJ60" s="427">
        <f>IFERROR('07a_ATC'!AJ60*'07c_ATC_Ajustado'!$L$54,0)</f>
        <v>0</v>
      </c>
      <c r="AK60" s="427">
        <f>IFERROR('07a_ATC'!AK60*'07c_ATC_Ajustado'!$L$54,0)</f>
        <v>0</v>
      </c>
      <c r="AL60" s="427">
        <f>IFERROR('07a_ATC'!AL60*'07c_ATC_Ajustado'!$L$54,0)</f>
        <v>0</v>
      </c>
      <c r="AM60" s="427">
        <f>IFERROR('07a_ATC'!AM60*'07c_ATC_Ajustado'!$L$54,0)</f>
        <v>0</v>
      </c>
      <c r="AN60" s="427">
        <f>IFERROR('07a_ATC'!AN60*'07c_ATC_Ajustado'!$L$54,0)</f>
        <v>0</v>
      </c>
      <c r="AO60" s="427">
        <f>IFERROR('07a_ATC'!AO60*'07c_ATC_Ajustado'!$L$54,0)</f>
        <v>0</v>
      </c>
      <c r="AP60" s="427">
        <f>IFERROR('07a_ATC'!AP60*'07c_ATC_Ajustado'!$L$54,0)</f>
        <v>0</v>
      </c>
      <c r="AQ60" s="427">
        <f>IFERROR('07a_ATC'!AQ60*'07c_ATC_Ajustado'!$L$54,0)</f>
        <v>0</v>
      </c>
      <c r="AR60" s="427">
        <f>IFERROR('07a_ATC'!AR60*'07c_ATC_Ajustado'!$L$54,0)</f>
        <v>0</v>
      </c>
      <c r="AS60" s="427">
        <f>IFERROR('07a_ATC'!AS60*'07c_ATC_Ajustado'!$L$54,0)</f>
        <v>0</v>
      </c>
      <c r="AT60" s="427">
        <f>IFERROR('07a_ATC'!AT60*'07c_ATC_Ajustado'!$L$54,0)</f>
        <v>0</v>
      </c>
      <c r="AU60" s="427">
        <f>IFERROR('07a_ATC'!AU60*'07c_ATC_Ajustado'!$L$54,0)</f>
        <v>0</v>
      </c>
      <c r="AV60" s="427">
        <f>IFERROR('07a_ATC'!AV60*'07c_ATC_Ajustado'!$L$54,0)</f>
        <v>0</v>
      </c>
      <c r="AW60" s="427">
        <f>IFERROR('07a_ATC'!AW60*'07c_ATC_Ajustado'!$L$54,0)</f>
        <v>0</v>
      </c>
      <c r="AX60" s="427">
        <f>IFERROR('07a_ATC'!AX60*'07c_ATC_Ajustado'!$L$54,0)</f>
        <v>0</v>
      </c>
      <c r="AY60" s="427">
        <f>IFERROR('07a_ATC'!AY60*'07c_ATC_Ajustado'!$L$54,0)</f>
        <v>0</v>
      </c>
      <c r="AZ60" s="427">
        <f>IFERROR('07a_ATC'!AZ60*'07c_ATC_Ajustado'!$L$54,0)</f>
        <v>0</v>
      </c>
      <c r="BA60" s="427">
        <f>IFERROR('07a_ATC'!BA60*'07c_ATC_Ajustado'!$L$54,0)</f>
        <v>0</v>
      </c>
      <c r="BB60" s="427">
        <f>IFERROR('07a_ATC'!BB60*'07c_ATC_Ajustado'!$L$54,0)</f>
        <v>0</v>
      </c>
      <c r="BC60" s="427">
        <f>IFERROR('07a_ATC'!BC60*'07c_ATC_Ajustado'!$L$54,0)</f>
        <v>0</v>
      </c>
      <c r="BD60" s="427">
        <f>IFERROR('07a_ATC'!BD60*'07c_ATC_Ajustado'!$L$54,0)</f>
        <v>0</v>
      </c>
      <c r="BE60" s="427">
        <f>IFERROR('07a_ATC'!BE60*'07c_ATC_Ajustado'!$L$54,0)</f>
        <v>0</v>
      </c>
      <c r="BF60" s="427">
        <f>IFERROR('07a_ATC'!BF60*'07c_ATC_Ajustado'!$L$54,0)</f>
        <v>0</v>
      </c>
    </row>
    <row r="61" spans="1:58">
      <c r="A61" s="450"/>
      <c r="B61" s="424"/>
      <c r="C61" s="424"/>
      <c r="D61" s="424"/>
      <c r="E61" s="424"/>
      <c r="F61" s="424"/>
      <c r="G61" s="424"/>
      <c r="H61" s="462"/>
      <c r="I61" s="424"/>
      <c r="J61" s="424"/>
      <c r="K61" s="459"/>
      <c r="L61" s="469" t="str">
        <f>'00_Datos_Mercado'!$B$10</f>
        <v>i_RES - No VIS</v>
      </c>
      <c r="M61" s="429">
        <f t="shared" si="20"/>
        <v>171977.68908958489</v>
      </c>
      <c r="N61" s="427">
        <f>IFERROR('07a_ATC'!N61*'07c_ATC_Ajustado'!$L$54,0)</f>
        <v>0</v>
      </c>
      <c r="O61" s="427">
        <f>IFERROR('07a_ATC'!O61*'07c_ATC_Ajustado'!$L$54,0)</f>
        <v>0</v>
      </c>
      <c r="P61" s="427">
        <f>IFERROR('07a_ATC'!P61*'07c_ATC_Ajustado'!$L$54,0)</f>
        <v>0</v>
      </c>
      <c r="Q61" s="427">
        <f>IFERROR('07a_ATC'!Q61*'07c_ATC_Ajustado'!$L$54,0)</f>
        <v>0</v>
      </c>
      <c r="R61" s="427">
        <f>IFERROR('07a_ATC'!R61*'07c_ATC_Ajustado'!$L$54,0)</f>
        <v>0</v>
      </c>
      <c r="S61" s="427">
        <f>IFERROR('07a_ATC'!S61*'07c_ATC_Ajustado'!$L$54,0)</f>
        <v>0</v>
      </c>
      <c r="T61" s="427">
        <f>IFERROR('07a_ATC'!T61*'07c_ATC_Ajustado'!$L$54,0)</f>
        <v>0</v>
      </c>
      <c r="U61" s="427">
        <f>IFERROR('07a_ATC'!U61*'07c_ATC_Ajustado'!$L$54,0)</f>
        <v>0</v>
      </c>
      <c r="V61" s="427">
        <f>IFERROR('07a_ATC'!V61*'07c_ATC_Ajustado'!$L$54,0)</f>
        <v>0</v>
      </c>
      <c r="W61" s="427">
        <f>IFERROR('07a_ATC'!W61*'07c_ATC_Ajustado'!$L$54,0)</f>
        <v>6369.5440403549974</v>
      </c>
      <c r="X61" s="427">
        <f>IFERROR('07a_ATC'!X61*'07c_ATC_Ajustado'!$L$54,0)</f>
        <v>6369.5440403549974</v>
      </c>
      <c r="Y61" s="427">
        <f>IFERROR('07a_ATC'!Y61*'07c_ATC_Ajustado'!$L$54,0)</f>
        <v>6369.5440403549974</v>
      </c>
      <c r="Z61" s="427">
        <f>IFERROR('07a_ATC'!Z61*'07c_ATC_Ajustado'!$L$54,0)</f>
        <v>6369.5440403549974</v>
      </c>
      <c r="AA61" s="427">
        <f>IFERROR('07a_ATC'!AA61*'07c_ATC_Ajustado'!$L$54,0)</f>
        <v>6369.5440403549974</v>
      </c>
      <c r="AB61" s="427">
        <f>IFERROR('07a_ATC'!AB61*'07c_ATC_Ajustado'!$L$54,0)</f>
        <v>6369.5440403549974</v>
      </c>
      <c r="AC61" s="427">
        <f>IFERROR('07a_ATC'!AC61*'07c_ATC_Ajustado'!$L$54,0)</f>
        <v>6369.5440403549974</v>
      </c>
      <c r="AD61" s="427">
        <f>IFERROR('07a_ATC'!AD61*'07c_ATC_Ajustado'!$L$54,0)</f>
        <v>6369.5440403549974</v>
      </c>
      <c r="AE61" s="427">
        <f>IFERROR('07a_ATC'!AE61*'07c_ATC_Ajustado'!$L$54,0)</f>
        <v>6369.5440403549974</v>
      </c>
      <c r="AF61" s="427">
        <f>IFERROR('07a_ATC'!AF61*'07c_ATC_Ajustado'!$L$54,0)</f>
        <v>6369.5440403549974</v>
      </c>
      <c r="AG61" s="427">
        <f>IFERROR('07a_ATC'!AG61*'07c_ATC_Ajustado'!$L$54,0)</f>
        <v>6369.5440403549974</v>
      </c>
      <c r="AH61" s="427">
        <f>IFERROR('07a_ATC'!AH61*'07c_ATC_Ajustado'!$L$54,0)</f>
        <v>6369.5440403549974</v>
      </c>
      <c r="AI61" s="427">
        <f>IFERROR('07a_ATC'!AI61*'07c_ATC_Ajustado'!$L$54,0)</f>
        <v>6369.5440403549974</v>
      </c>
      <c r="AJ61" s="427">
        <f>IFERROR('07a_ATC'!AJ61*'07c_ATC_Ajustado'!$L$54,0)</f>
        <v>6369.5440403549974</v>
      </c>
      <c r="AK61" s="427">
        <f>IFERROR('07a_ATC'!AK61*'07c_ATC_Ajustado'!$L$54,0)</f>
        <v>6369.5440403549974</v>
      </c>
      <c r="AL61" s="427">
        <f>IFERROR('07a_ATC'!AL61*'07c_ATC_Ajustado'!$L$54,0)</f>
        <v>6369.5440403549974</v>
      </c>
      <c r="AM61" s="427">
        <f>IFERROR('07a_ATC'!AM61*'07c_ATC_Ajustado'!$L$54,0)</f>
        <v>6369.5440403549974</v>
      </c>
      <c r="AN61" s="427">
        <f>IFERROR('07a_ATC'!AN61*'07c_ATC_Ajustado'!$L$54,0)</f>
        <v>6369.5440403549974</v>
      </c>
      <c r="AO61" s="427">
        <f>IFERROR('07a_ATC'!AO61*'07c_ATC_Ajustado'!$L$54,0)</f>
        <v>6369.5440403549974</v>
      </c>
      <c r="AP61" s="427">
        <f>IFERROR('07a_ATC'!AP61*'07c_ATC_Ajustado'!$L$54,0)</f>
        <v>6369.5440403549974</v>
      </c>
      <c r="AQ61" s="427">
        <f>IFERROR('07a_ATC'!AQ61*'07c_ATC_Ajustado'!$L$54,0)</f>
        <v>6369.5440403549974</v>
      </c>
      <c r="AR61" s="427">
        <f>IFERROR('07a_ATC'!AR61*'07c_ATC_Ajustado'!$L$54,0)</f>
        <v>6369.5440403549974</v>
      </c>
      <c r="AS61" s="427">
        <f>IFERROR('07a_ATC'!AS61*'07c_ATC_Ajustado'!$L$54,0)</f>
        <v>6369.5440403549974</v>
      </c>
      <c r="AT61" s="427">
        <f>IFERROR('07a_ATC'!AT61*'07c_ATC_Ajustado'!$L$54,0)</f>
        <v>6369.5440403549974</v>
      </c>
      <c r="AU61" s="427">
        <f>IFERROR('07a_ATC'!AU61*'07c_ATC_Ajustado'!$L$54,0)</f>
        <v>6369.5440403549974</v>
      </c>
      <c r="AV61" s="427">
        <f>IFERROR('07a_ATC'!AV61*'07c_ATC_Ajustado'!$L$54,0)</f>
        <v>6369.5440403549974</v>
      </c>
      <c r="AW61" s="427">
        <f>IFERROR('07a_ATC'!AW61*'07c_ATC_Ajustado'!$L$54,0)</f>
        <v>6369.5440403549974</v>
      </c>
      <c r="AX61" s="427">
        <f>IFERROR('07a_ATC'!AX61*'07c_ATC_Ajustado'!$L$54,0)</f>
        <v>0</v>
      </c>
      <c r="AY61" s="427">
        <f>IFERROR('07a_ATC'!AY61*'07c_ATC_Ajustado'!$L$54,0)</f>
        <v>0</v>
      </c>
      <c r="AZ61" s="427">
        <f>IFERROR('07a_ATC'!AZ61*'07c_ATC_Ajustado'!$L$54,0)</f>
        <v>0</v>
      </c>
      <c r="BA61" s="427">
        <f>IFERROR('07a_ATC'!BA61*'07c_ATC_Ajustado'!$L$54,0)</f>
        <v>0</v>
      </c>
      <c r="BB61" s="427">
        <f>IFERROR('07a_ATC'!BB61*'07c_ATC_Ajustado'!$L$54,0)</f>
        <v>0</v>
      </c>
      <c r="BC61" s="427">
        <f>IFERROR('07a_ATC'!BC61*'07c_ATC_Ajustado'!$L$54,0)</f>
        <v>0</v>
      </c>
      <c r="BD61" s="427">
        <f>IFERROR('07a_ATC'!BD61*'07c_ATC_Ajustado'!$L$54,0)</f>
        <v>0</v>
      </c>
      <c r="BE61" s="427">
        <f>IFERROR('07a_ATC'!BE61*'07c_ATC_Ajustado'!$L$54,0)</f>
        <v>0</v>
      </c>
      <c r="BF61" s="427">
        <f>IFERROR('07a_ATC'!BF61*'07c_ATC_Ajustado'!$L$54,0)</f>
        <v>0</v>
      </c>
    </row>
    <row r="62" spans="1:58">
      <c r="A62" s="450"/>
      <c r="B62" s="424"/>
      <c r="C62" s="424"/>
      <c r="D62" s="424"/>
      <c r="E62" s="424"/>
      <c r="F62" s="424"/>
      <c r="G62" s="424"/>
      <c r="H62" s="462"/>
      <c r="I62" s="424"/>
      <c r="J62" s="424"/>
      <c r="K62" s="459"/>
      <c r="L62" s="470" t="s">
        <v>697</v>
      </c>
      <c r="M62" s="471">
        <f t="shared" ref="M62" si="21">SUM(N62:BF62)</f>
        <v>12739.088080709995</v>
      </c>
      <c r="N62" s="472">
        <f>IFERROR('07a_ATC'!N62*'07c_ATC_Ajustado'!$L$54,0)</f>
        <v>0</v>
      </c>
      <c r="O62" s="472">
        <f>IFERROR('07a_ATC'!O62*'07c_ATC_Ajustado'!$L$54,0)</f>
        <v>0</v>
      </c>
      <c r="P62" s="472">
        <f>IFERROR('07a_ATC'!P62*'07c_ATC_Ajustado'!$L$54,0)</f>
        <v>0</v>
      </c>
      <c r="Q62" s="472">
        <f>IFERROR('07a_ATC'!Q62*'07c_ATC_Ajustado'!$L$54,0)</f>
        <v>0</v>
      </c>
      <c r="R62" s="472">
        <f>IFERROR('07a_ATC'!R62*'07c_ATC_Ajustado'!$L$54,0)</f>
        <v>6369.5440403549974</v>
      </c>
      <c r="S62" s="472">
        <f>IFERROR('07a_ATC'!S62*'07c_ATC_Ajustado'!$L$54,0)</f>
        <v>0</v>
      </c>
      <c r="T62" s="472">
        <f>IFERROR('07a_ATC'!T62*'07c_ATC_Ajustado'!$L$54,0)</f>
        <v>0</v>
      </c>
      <c r="U62" s="472">
        <f>IFERROR('07a_ATC'!U62*'07c_ATC_Ajustado'!$L$54,0)</f>
        <v>0</v>
      </c>
      <c r="V62" s="472">
        <f>IFERROR('07a_ATC'!V62*'07c_ATC_Ajustado'!$L$54,0)</f>
        <v>0</v>
      </c>
      <c r="W62" s="472">
        <f>IFERROR('07a_ATC'!W62*'07c_ATC_Ajustado'!$L$54,0)</f>
        <v>0</v>
      </c>
      <c r="X62" s="472">
        <f>IFERROR('07a_ATC'!X62*'07c_ATC_Ajustado'!$L$54,0)</f>
        <v>0</v>
      </c>
      <c r="Y62" s="472">
        <f>IFERROR('07a_ATC'!Y62*'07c_ATC_Ajustado'!$L$54,0)</f>
        <v>0</v>
      </c>
      <c r="Z62" s="472">
        <f>IFERROR('07a_ATC'!Z62*'07c_ATC_Ajustado'!$L$54,0)</f>
        <v>0</v>
      </c>
      <c r="AA62" s="472">
        <f>IFERROR('07a_ATC'!AA62*'07c_ATC_Ajustado'!$L$54,0)</f>
        <v>0</v>
      </c>
      <c r="AB62" s="472">
        <f>IFERROR('07a_ATC'!AB62*'07c_ATC_Ajustado'!$L$54,0)</f>
        <v>0</v>
      </c>
      <c r="AC62" s="472">
        <f>IFERROR('07a_ATC'!AC62*'07c_ATC_Ajustado'!$L$54,0)</f>
        <v>0</v>
      </c>
      <c r="AD62" s="472">
        <f>IFERROR('07a_ATC'!AD62*'07c_ATC_Ajustado'!$L$54,0)</f>
        <v>0</v>
      </c>
      <c r="AE62" s="472">
        <f>IFERROR('07a_ATC'!AE62*'07c_ATC_Ajustado'!$L$54,0)</f>
        <v>0</v>
      </c>
      <c r="AF62" s="472">
        <f>IFERROR('07a_ATC'!AF62*'07c_ATC_Ajustado'!$L$54,0)</f>
        <v>0</v>
      </c>
      <c r="AG62" s="472">
        <f>IFERROR('07a_ATC'!AG62*'07c_ATC_Ajustado'!$L$54,0)</f>
        <v>0</v>
      </c>
      <c r="AH62" s="472">
        <f>IFERROR('07a_ATC'!AH62*'07c_ATC_Ajustado'!$L$54,0)</f>
        <v>0</v>
      </c>
      <c r="AI62" s="472">
        <f>IFERROR('07a_ATC'!AI62*'07c_ATC_Ajustado'!$L$54,0)</f>
        <v>0</v>
      </c>
      <c r="AJ62" s="472">
        <f>IFERROR('07a_ATC'!AJ62*'07c_ATC_Ajustado'!$L$54,0)</f>
        <v>0</v>
      </c>
      <c r="AK62" s="472">
        <f>IFERROR('07a_ATC'!AK62*'07c_ATC_Ajustado'!$L$54,0)</f>
        <v>0</v>
      </c>
      <c r="AL62" s="472">
        <f>IFERROR('07a_ATC'!AL62*'07c_ATC_Ajustado'!$L$54,0)</f>
        <v>0</v>
      </c>
      <c r="AM62" s="472">
        <f>IFERROR('07a_ATC'!AM62*'07c_ATC_Ajustado'!$L$54,0)</f>
        <v>0</v>
      </c>
      <c r="AN62" s="472">
        <f>IFERROR('07a_ATC'!AN62*'07c_ATC_Ajustado'!$L$54,0)</f>
        <v>0</v>
      </c>
      <c r="AO62" s="472">
        <f>IFERROR('07a_ATC'!AO62*'07c_ATC_Ajustado'!$L$54,0)</f>
        <v>0</v>
      </c>
      <c r="AP62" s="472">
        <f>IFERROR('07a_ATC'!AP62*'07c_ATC_Ajustado'!$L$54,0)</f>
        <v>0</v>
      </c>
      <c r="AQ62" s="472">
        <f>IFERROR('07a_ATC'!AQ62*'07c_ATC_Ajustado'!$L$54,0)</f>
        <v>0</v>
      </c>
      <c r="AR62" s="472">
        <f>IFERROR('07a_ATC'!AR62*'07c_ATC_Ajustado'!$L$54,0)</f>
        <v>0</v>
      </c>
      <c r="AS62" s="472">
        <f>IFERROR('07a_ATC'!AS62*'07c_ATC_Ajustado'!$L$54,0)</f>
        <v>0</v>
      </c>
      <c r="AT62" s="472">
        <f>IFERROR('07a_ATC'!AT62*'07c_ATC_Ajustado'!$L$54,0)</f>
        <v>0</v>
      </c>
      <c r="AU62" s="472">
        <f>IFERROR('07a_ATC'!AU62*'07c_ATC_Ajustado'!$L$54,0)</f>
        <v>0</v>
      </c>
      <c r="AV62" s="472">
        <f>IFERROR('07a_ATC'!AV62*'07c_ATC_Ajustado'!$L$54,0)</f>
        <v>0</v>
      </c>
      <c r="AW62" s="472">
        <f>IFERROR('07a_ATC'!AW62*'07c_ATC_Ajustado'!$L$54,0)</f>
        <v>0</v>
      </c>
      <c r="AX62" s="472">
        <f>IFERROR('07a_ATC'!AX62*'07c_ATC_Ajustado'!$L$54,0)</f>
        <v>6369.5440403549974</v>
      </c>
      <c r="AY62" s="472">
        <f>IFERROR('07a_ATC'!AY62*'07c_ATC_Ajustado'!$L$54,0)</f>
        <v>0</v>
      </c>
      <c r="AZ62" s="472">
        <f>IFERROR('07a_ATC'!AZ62*'07c_ATC_Ajustado'!$L$54,0)</f>
        <v>0</v>
      </c>
      <c r="BA62" s="472">
        <f>IFERROR('07a_ATC'!BA62*'07c_ATC_Ajustado'!$L$54,0)</f>
        <v>0</v>
      </c>
      <c r="BB62" s="472">
        <f>IFERROR('07a_ATC'!BB62*'07c_ATC_Ajustado'!$L$54,0)</f>
        <v>0</v>
      </c>
      <c r="BC62" s="472">
        <f>IFERROR('07a_ATC'!BC62*'07c_ATC_Ajustado'!$L$54,0)</f>
        <v>0</v>
      </c>
      <c r="BD62" s="472">
        <f>IFERROR('07a_ATC'!BD62*'07c_ATC_Ajustado'!$L$54,0)</f>
        <v>0</v>
      </c>
      <c r="BE62" s="472">
        <f>IFERROR('07a_ATC'!BE62*'07c_ATC_Ajustado'!$L$54,0)</f>
        <v>0</v>
      </c>
      <c r="BF62" s="472">
        <f>IFERROR('07a_ATC'!BF62*'07c_ATC_Ajustado'!$L$54,0)</f>
        <v>0</v>
      </c>
    </row>
    <row r="63" spans="1:58" s="456" customFormat="1" ht="15.6">
      <c r="A63" s="450">
        <v>7</v>
      </c>
      <c r="B63" s="452">
        <f>SUMIF('04a_PROPUESTA_MO'!$R$9:$R$42,'07c_ATC_Ajustado'!A63,'04a_PROPUESTA_MO'!$T$9:$T$42)</f>
        <v>23967.619699999999</v>
      </c>
      <c r="C63" s="452">
        <f>SUMIF('04a_PROPUESTA_MO'!$R$9:$R$42,'07c_ATC_Ajustado'!A63,'04a_PROPUESTA_MO'!$AH$9:$AH$42)</f>
        <v>3251.2337344159237</v>
      </c>
      <c r="D63" s="452">
        <f>SUMIF('04a_PROPUESTA_MO'!$R$9:$R$42,'07c_ATC_Ajustado'!A63,'04a_PROPUESTA_MO'!$AI$9:$AI$42)</f>
        <v>11010.760040763742</v>
      </c>
      <c r="E63" s="452">
        <f>SUMIF('04a_PROPUESTA_MO'!$R$9:$R$42,'07c_ATC_Ajustado'!A63,'04a_PROPUESTA_MO'!$AJ$9:$AJ$42)</f>
        <v>2456.7635053029921</v>
      </c>
      <c r="F63" s="452">
        <f t="shared" si="4"/>
        <v>16718.75728048266</v>
      </c>
      <c r="G63" s="452">
        <f t="shared" si="5"/>
        <v>7248.8624195173397</v>
      </c>
      <c r="H63" s="453">
        <f>G63/$G$7</f>
        <v>0.12569152108956988</v>
      </c>
      <c r="I63" s="452">
        <f t="shared" si="6"/>
        <v>983.66140280594755</v>
      </c>
      <c r="J63" s="452">
        <f>SUMIF('04a_PROPUESTA_MO'!$R$9:$R$42,'07c_ATC_Ajustado'!A63,'04a_PROPUESTA_MO'!$AN$9:$AN$42)</f>
        <v>6265.2010167113922</v>
      </c>
      <c r="K63" s="454">
        <f t="shared" si="7"/>
        <v>0.14255926796061419</v>
      </c>
      <c r="L63" s="460">
        <f>1+'07b_ATC_Ajuste'!$E$11</f>
        <v>1.0972070849163038</v>
      </c>
      <c r="M63" s="461">
        <f>SUM(M64:M70)</f>
        <v>151682.70221379091</v>
      </c>
      <c r="N63" s="461">
        <f t="shared" ref="N63:BF63" si="22">SUM(N64:N70)</f>
        <v>6265.1950917931335</v>
      </c>
      <c r="O63" s="461">
        <f t="shared" si="22"/>
        <v>6617.9691137354239</v>
      </c>
      <c r="P63" s="461">
        <f t="shared" si="22"/>
        <v>6617.9691137354239</v>
      </c>
      <c r="Q63" s="461">
        <f t="shared" si="22"/>
        <v>6617.9691137354239</v>
      </c>
      <c r="R63" s="461">
        <f t="shared" si="22"/>
        <v>0</v>
      </c>
      <c r="S63" s="461">
        <f t="shared" si="22"/>
        <v>4050.4387026061781</v>
      </c>
      <c r="T63" s="461">
        <f t="shared" si="22"/>
        <v>4050.4387026061781</v>
      </c>
      <c r="U63" s="461">
        <f t="shared" si="22"/>
        <v>4050.4387026061781</v>
      </c>
      <c r="V63" s="461">
        <f t="shared" si="22"/>
        <v>4050.4387026061781</v>
      </c>
      <c r="W63" s="461">
        <f t="shared" si="22"/>
        <v>4050.4387026061781</v>
      </c>
      <c r="X63" s="461">
        <f t="shared" si="22"/>
        <v>4050.4387026061781</v>
      </c>
      <c r="Y63" s="461">
        <f t="shared" si="22"/>
        <v>4050.4387026061781</v>
      </c>
      <c r="Z63" s="461">
        <f t="shared" si="22"/>
        <v>4050.4387026061781</v>
      </c>
      <c r="AA63" s="461">
        <f t="shared" si="22"/>
        <v>4050.4387026061781</v>
      </c>
      <c r="AB63" s="461">
        <f t="shared" si="22"/>
        <v>4050.4387026061781</v>
      </c>
      <c r="AC63" s="461">
        <f t="shared" si="22"/>
        <v>4050.4387026061781</v>
      </c>
      <c r="AD63" s="461">
        <f t="shared" si="22"/>
        <v>4050.4387026061781</v>
      </c>
      <c r="AE63" s="461">
        <f t="shared" si="22"/>
        <v>4050.4387026061781</v>
      </c>
      <c r="AF63" s="461">
        <f t="shared" si="22"/>
        <v>4050.4387026061781</v>
      </c>
      <c r="AG63" s="461">
        <f t="shared" si="22"/>
        <v>4050.4387026061781</v>
      </c>
      <c r="AH63" s="461">
        <f t="shared" si="22"/>
        <v>4050.4387026061781</v>
      </c>
      <c r="AI63" s="461">
        <f t="shared" si="22"/>
        <v>4050.4387026061781</v>
      </c>
      <c r="AJ63" s="461">
        <f t="shared" si="22"/>
        <v>4050.4387026061781</v>
      </c>
      <c r="AK63" s="461">
        <f t="shared" si="22"/>
        <v>4050.4387026061781</v>
      </c>
      <c r="AL63" s="461">
        <f t="shared" si="22"/>
        <v>4050.4387026061781</v>
      </c>
      <c r="AM63" s="461">
        <f t="shared" si="22"/>
        <v>4050.4387026061781</v>
      </c>
      <c r="AN63" s="461">
        <f t="shared" si="22"/>
        <v>4050.4387026061781</v>
      </c>
      <c r="AO63" s="461">
        <f t="shared" si="22"/>
        <v>4050.4387026061781</v>
      </c>
      <c r="AP63" s="461">
        <f t="shared" si="22"/>
        <v>4050.4387026061781</v>
      </c>
      <c r="AQ63" s="461">
        <f t="shared" si="22"/>
        <v>4050.4387026061781</v>
      </c>
      <c r="AR63" s="461">
        <f t="shared" si="22"/>
        <v>4050.4387026061781</v>
      </c>
      <c r="AS63" s="461">
        <f t="shared" si="22"/>
        <v>4050.4387026061781</v>
      </c>
      <c r="AT63" s="461">
        <f t="shared" si="22"/>
        <v>4050.4387026061781</v>
      </c>
      <c r="AU63" s="461">
        <f t="shared" si="22"/>
        <v>4050.4387026061781</v>
      </c>
      <c r="AV63" s="461">
        <f t="shared" si="22"/>
        <v>4050.4387026061781</v>
      </c>
      <c r="AW63" s="461">
        <f t="shared" si="22"/>
        <v>4050.4387026061781</v>
      </c>
      <c r="AX63" s="461">
        <f t="shared" si="22"/>
        <v>0</v>
      </c>
      <c r="AY63" s="461">
        <f t="shared" si="22"/>
        <v>0</v>
      </c>
      <c r="AZ63" s="461">
        <f t="shared" si="22"/>
        <v>0</v>
      </c>
      <c r="BA63" s="461">
        <f t="shared" si="22"/>
        <v>0</v>
      </c>
      <c r="BB63" s="461">
        <f t="shared" si="22"/>
        <v>0</v>
      </c>
      <c r="BC63" s="461">
        <f t="shared" si="22"/>
        <v>0</v>
      </c>
      <c r="BD63" s="461">
        <f t="shared" si="22"/>
        <v>0</v>
      </c>
      <c r="BE63" s="461">
        <f t="shared" si="22"/>
        <v>0</v>
      </c>
      <c r="BF63" s="461">
        <f t="shared" si="22"/>
        <v>0</v>
      </c>
    </row>
    <row r="64" spans="1:58">
      <c r="A64" s="450"/>
      <c r="B64" s="424"/>
      <c r="C64" s="424"/>
      <c r="D64" s="424"/>
      <c r="E64" s="424"/>
      <c r="F64" s="424"/>
      <c r="G64" s="424"/>
      <c r="H64" s="462"/>
      <c r="I64" s="424"/>
      <c r="J64" s="424"/>
      <c r="K64" s="459"/>
      <c r="L64" s="463" t="str">
        <f>'00_Datos_Mercado'!$B$3</f>
        <v xml:space="preserve">a_CS - Creativos </v>
      </c>
      <c r="M64" s="429">
        <f t="shared" ref="M64:M71" si="23">SUM(N64:BF64)</f>
        <v>12883.164205528557</v>
      </c>
      <c r="N64" s="427">
        <f>IFERROR('07a_ATC'!N64*'07c_ATC_Ajustado'!$L$63,0)</f>
        <v>6265.1950917931335</v>
      </c>
      <c r="O64" s="427">
        <f>IFERROR('07a_ATC'!O64*'07c_ATC_Ajustado'!$L$63,0)</f>
        <v>6617.9691137354239</v>
      </c>
      <c r="P64" s="427">
        <f>IFERROR('07a_ATC'!P64*'07c_ATC_Ajustado'!$L$63,0)</f>
        <v>0</v>
      </c>
      <c r="Q64" s="427">
        <f>IFERROR('07a_ATC'!Q64*'07c_ATC_Ajustado'!$L$63,0)</f>
        <v>0</v>
      </c>
      <c r="R64" s="427">
        <f>IFERROR('07a_ATC'!R64*'07c_ATC_Ajustado'!$L$63,0)</f>
        <v>0</v>
      </c>
      <c r="S64" s="427">
        <f>IFERROR('07a_ATC'!S64*'07c_ATC_Ajustado'!$L$63,0)</f>
        <v>0</v>
      </c>
      <c r="T64" s="427">
        <f>IFERROR('07a_ATC'!T64*'07c_ATC_Ajustado'!$L$63,0)</f>
        <v>0</v>
      </c>
      <c r="U64" s="427">
        <f>IFERROR('07a_ATC'!U64*'07c_ATC_Ajustado'!$L$63,0)</f>
        <v>0</v>
      </c>
      <c r="V64" s="427">
        <f>IFERROR('07a_ATC'!V64*'07c_ATC_Ajustado'!$L$63,0)</f>
        <v>0</v>
      </c>
      <c r="W64" s="427">
        <f>IFERROR('07a_ATC'!W64*'07c_ATC_Ajustado'!$L$63,0)</f>
        <v>0</v>
      </c>
      <c r="X64" s="427">
        <f>IFERROR('07a_ATC'!X64*'07c_ATC_Ajustado'!$L$63,0)</f>
        <v>0</v>
      </c>
      <c r="Y64" s="427">
        <f>IFERROR('07a_ATC'!Y64*'07c_ATC_Ajustado'!$L$63,0)</f>
        <v>0</v>
      </c>
      <c r="Z64" s="427">
        <f>IFERROR('07a_ATC'!Z64*'07c_ATC_Ajustado'!$L$63,0)</f>
        <v>0</v>
      </c>
      <c r="AA64" s="427">
        <f>IFERROR('07a_ATC'!AA64*'07c_ATC_Ajustado'!$L$63,0)</f>
        <v>0</v>
      </c>
      <c r="AB64" s="427">
        <f>IFERROR('07a_ATC'!AB64*'07c_ATC_Ajustado'!$L$63,0)</f>
        <v>0</v>
      </c>
      <c r="AC64" s="427">
        <f>IFERROR('07a_ATC'!AC64*'07c_ATC_Ajustado'!$L$63,0)</f>
        <v>0</v>
      </c>
      <c r="AD64" s="427">
        <f>IFERROR('07a_ATC'!AD64*'07c_ATC_Ajustado'!$L$63,0)</f>
        <v>0</v>
      </c>
      <c r="AE64" s="427">
        <f>IFERROR('07a_ATC'!AE64*'07c_ATC_Ajustado'!$L$63,0)</f>
        <v>0</v>
      </c>
      <c r="AF64" s="427">
        <f>IFERROR('07a_ATC'!AF64*'07c_ATC_Ajustado'!$L$63,0)</f>
        <v>0</v>
      </c>
      <c r="AG64" s="427">
        <f>IFERROR('07a_ATC'!AG64*'07c_ATC_Ajustado'!$L$63,0)</f>
        <v>0</v>
      </c>
      <c r="AH64" s="427">
        <f>IFERROR('07a_ATC'!AH64*'07c_ATC_Ajustado'!$L$63,0)</f>
        <v>0</v>
      </c>
      <c r="AI64" s="427">
        <f>IFERROR('07a_ATC'!AI64*'07c_ATC_Ajustado'!$L$63,0)</f>
        <v>0</v>
      </c>
      <c r="AJ64" s="427">
        <f>IFERROR('07a_ATC'!AJ64*'07c_ATC_Ajustado'!$L$63,0)</f>
        <v>0</v>
      </c>
      <c r="AK64" s="427">
        <f>IFERROR('07a_ATC'!AK64*'07c_ATC_Ajustado'!$L$63,0)</f>
        <v>0</v>
      </c>
      <c r="AL64" s="427">
        <f>IFERROR('07a_ATC'!AL64*'07c_ATC_Ajustado'!$L$63,0)</f>
        <v>0</v>
      </c>
      <c r="AM64" s="427">
        <f>IFERROR('07a_ATC'!AM64*'07c_ATC_Ajustado'!$L$63,0)</f>
        <v>0</v>
      </c>
      <c r="AN64" s="427">
        <f>IFERROR('07a_ATC'!AN64*'07c_ATC_Ajustado'!$L$63,0)</f>
        <v>0</v>
      </c>
      <c r="AO64" s="427">
        <f>IFERROR('07a_ATC'!AO64*'07c_ATC_Ajustado'!$L$63,0)</f>
        <v>0</v>
      </c>
      <c r="AP64" s="427">
        <f>IFERROR('07a_ATC'!AP64*'07c_ATC_Ajustado'!$L$63,0)</f>
        <v>0</v>
      </c>
      <c r="AQ64" s="427">
        <f>IFERROR('07a_ATC'!AQ64*'07c_ATC_Ajustado'!$L$63,0)</f>
        <v>0</v>
      </c>
      <c r="AR64" s="427">
        <f>IFERROR('07a_ATC'!AR64*'07c_ATC_Ajustado'!$L$63,0)</f>
        <v>0</v>
      </c>
      <c r="AS64" s="427">
        <f>IFERROR('07a_ATC'!AS64*'07c_ATC_Ajustado'!$L$63,0)</f>
        <v>0</v>
      </c>
      <c r="AT64" s="427">
        <f>IFERROR('07a_ATC'!AT64*'07c_ATC_Ajustado'!$L$63,0)</f>
        <v>0</v>
      </c>
      <c r="AU64" s="427">
        <f>IFERROR('07a_ATC'!AU64*'07c_ATC_Ajustado'!$L$63,0)</f>
        <v>0</v>
      </c>
      <c r="AV64" s="427">
        <f>IFERROR('07a_ATC'!AV64*'07c_ATC_Ajustado'!$L$63,0)</f>
        <v>0</v>
      </c>
      <c r="AW64" s="427">
        <f>IFERROR('07a_ATC'!AW64*'07c_ATC_Ajustado'!$L$63,0)</f>
        <v>0</v>
      </c>
      <c r="AX64" s="427">
        <f>IFERROR('07a_ATC'!AX64*'07c_ATC_Ajustado'!$L$63,0)</f>
        <v>0</v>
      </c>
      <c r="AY64" s="427">
        <f>IFERROR('07a_ATC'!AY64*'07c_ATC_Ajustado'!$L$63,0)</f>
        <v>0</v>
      </c>
      <c r="AZ64" s="427">
        <f>IFERROR('07a_ATC'!AZ64*'07c_ATC_Ajustado'!$L$63,0)</f>
        <v>0</v>
      </c>
      <c r="BA64" s="427">
        <f>IFERROR('07a_ATC'!BA64*'07c_ATC_Ajustado'!$L$63,0)</f>
        <v>0</v>
      </c>
      <c r="BB64" s="427">
        <f>IFERROR('07a_ATC'!BB64*'07c_ATC_Ajustado'!$L$63,0)</f>
        <v>0</v>
      </c>
      <c r="BC64" s="427">
        <f>IFERROR('07a_ATC'!BC64*'07c_ATC_Ajustado'!$L$63,0)</f>
        <v>0</v>
      </c>
      <c r="BD64" s="427">
        <f>IFERROR('07a_ATC'!BD64*'07c_ATC_Ajustado'!$L$63,0)</f>
        <v>0</v>
      </c>
      <c r="BE64" s="427">
        <f>IFERROR('07a_ATC'!BE64*'07c_ATC_Ajustado'!$L$63,0)</f>
        <v>0</v>
      </c>
      <c r="BF64" s="427">
        <f>IFERROR('07a_ATC'!BF64*'07c_ATC_Ajustado'!$L$63,0)</f>
        <v>0</v>
      </c>
    </row>
    <row r="65" spans="1:58">
      <c r="A65" s="450"/>
      <c r="B65" s="424"/>
      <c r="C65" s="424"/>
      <c r="D65" s="424"/>
      <c r="E65" s="424"/>
      <c r="F65" s="424"/>
      <c r="G65" s="424"/>
      <c r="H65" s="462"/>
      <c r="I65" s="424"/>
      <c r="J65" s="424"/>
      <c r="K65" s="459"/>
      <c r="L65" s="464" t="str">
        <f>'00_Datos_Mercado'!$B$4</f>
        <v>b_CS - General (Comercio + Oficinas + Hospedaje)</v>
      </c>
      <c r="M65" s="429">
        <f t="shared" si="23"/>
        <v>13235.938227470848</v>
      </c>
      <c r="N65" s="427">
        <f>IFERROR('07a_ATC'!N65*'07c_ATC_Ajustado'!$L$63,0)</f>
        <v>0</v>
      </c>
      <c r="O65" s="427">
        <f>IFERROR('07a_ATC'!O65*'07c_ATC_Ajustado'!$L$63,0)</f>
        <v>0</v>
      </c>
      <c r="P65" s="427">
        <f>IFERROR('07a_ATC'!P65*'07c_ATC_Ajustado'!$L$63,0)</f>
        <v>6617.9691137354239</v>
      </c>
      <c r="Q65" s="427">
        <f>IFERROR('07a_ATC'!Q65*'07c_ATC_Ajustado'!$L$63,0)</f>
        <v>6617.9691137354239</v>
      </c>
      <c r="R65" s="427">
        <f>IFERROR('07a_ATC'!R65*'07c_ATC_Ajustado'!$L$63,0)</f>
        <v>0</v>
      </c>
      <c r="S65" s="427">
        <f>IFERROR('07a_ATC'!S65*'07c_ATC_Ajustado'!$L$63,0)</f>
        <v>0</v>
      </c>
      <c r="T65" s="427">
        <f>IFERROR('07a_ATC'!T65*'07c_ATC_Ajustado'!$L$63,0)</f>
        <v>0</v>
      </c>
      <c r="U65" s="427">
        <f>IFERROR('07a_ATC'!U65*'07c_ATC_Ajustado'!$L$63,0)</f>
        <v>0</v>
      </c>
      <c r="V65" s="427">
        <f>IFERROR('07a_ATC'!V65*'07c_ATC_Ajustado'!$L$63,0)</f>
        <v>0</v>
      </c>
      <c r="W65" s="427">
        <f>IFERROR('07a_ATC'!W65*'07c_ATC_Ajustado'!$L$63,0)</f>
        <v>0</v>
      </c>
      <c r="X65" s="427">
        <f>IFERROR('07a_ATC'!X65*'07c_ATC_Ajustado'!$L$63,0)</f>
        <v>0</v>
      </c>
      <c r="Y65" s="427">
        <f>IFERROR('07a_ATC'!Y65*'07c_ATC_Ajustado'!$L$63,0)</f>
        <v>0</v>
      </c>
      <c r="Z65" s="427">
        <f>IFERROR('07a_ATC'!Z65*'07c_ATC_Ajustado'!$L$63,0)</f>
        <v>0</v>
      </c>
      <c r="AA65" s="427">
        <f>IFERROR('07a_ATC'!AA65*'07c_ATC_Ajustado'!$L$63,0)</f>
        <v>0</v>
      </c>
      <c r="AB65" s="427">
        <f>IFERROR('07a_ATC'!AB65*'07c_ATC_Ajustado'!$L$63,0)</f>
        <v>0</v>
      </c>
      <c r="AC65" s="427">
        <f>IFERROR('07a_ATC'!AC65*'07c_ATC_Ajustado'!$L$63,0)</f>
        <v>0</v>
      </c>
      <c r="AD65" s="427">
        <f>IFERROR('07a_ATC'!AD65*'07c_ATC_Ajustado'!$L$63,0)</f>
        <v>0</v>
      </c>
      <c r="AE65" s="427">
        <f>IFERROR('07a_ATC'!AE65*'07c_ATC_Ajustado'!$L$63,0)</f>
        <v>0</v>
      </c>
      <c r="AF65" s="427">
        <f>IFERROR('07a_ATC'!AF65*'07c_ATC_Ajustado'!$L$63,0)</f>
        <v>0</v>
      </c>
      <c r="AG65" s="427">
        <f>IFERROR('07a_ATC'!AG65*'07c_ATC_Ajustado'!$L$63,0)</f>
        <v>0</v>
      </c>
      <c r="AH65" s="427">
        <f>IFERROR('07a_ATC'!AH65*'07c_ATC_Ajustado'!$L$63,0)</f>
        <v>0</v>
      </c>
      <c r="AI65" s="427">
        <f>IFERROR('07a_ATC'!AI65*'07c_ATC_Ajustado'!$L$63,0)</f>
        <v>0</v>
      </c>
      <c r="AJ65" s="427">
        <f>IFERROR('07a_ATC'!AJ65*'07c_ATC_Ajustado'!$L$63,0)</f>
        <v>0</v>
      </c>
      <c r="AK65" s="427">
        <f>IFERROR('07a_ATC'!AK65*'07c_ATC_Ajustado'!$L$63,0)</f>
        <v>0</v>
      </c>
      <c r="AL65" s="427">
        <f>IFERROR('07a_ATC'!AL65*'07c_ATC_Ajustado'!$L$63,0)</f>
        <v>0</v>
      </c>
      <c r="AM65" s="427">
        <f>IFERROR('07a_ATC'!AM65*'07c_ATC_Ajustado'!$L$63,0)</f>
        <v>0</v>
      </c>
      <c r="AN65" s="427">
        <f>IFERROR('07a_ATC'!AN65*'07c_ATC_Ajustado'!$L$63,0)</f>
        <v>0</v>
      </c>
      <c r="AO65" s="427">
        <f>IFERROR('07a_ATC'!AO65*'07c_ATC_Ajustado'!$L$63,0)</f>
        <v>0</v>
      </c>
      <c r="AP65" s="427">
        <f>IFERROR('07a_ATC'!AP65*'07c_ATC_Ajustado'!$L$63,0)</f>
        <v>0</v>
      </c>
      <c r="AQ65" s="427">
        <f>IFERROR('07a_ATC'!AQ65*'07c_ATC_Ajustado'!$L$63,0)</f>
        <v>0</v>
      </c>
      <c r="AR65" s="427">
        <f>IFERROR('07a_ATC'!AR65*'07c_ATC_Ajustado'!$L$63,0)</f>
        <v>0</v>
      </c>
      <c r="AS65" s="427">
        <f>IFERROR('07a_ATC'!AS65*'07c_ATC_Ajustado'!$L$63,0)</f>
        <v>0</v>
      </c>
      <c r="AT65" s="427">
        <f>IFERROR('07a_ATC'!AT65*'07c_ATC_Ajustado'!$L$63,0)</f>
        <v>0</v>
      </c>
      <c r="AU65" s="427">
        <f>IFERROR('07a_ATC'!AU65*'07c_ATC_Ajustado'!$L$63,0)</f>
        <v>0</v>
      </c>
      <c r="AV65" s="427">
        <f>IFERROR('07a_ATC'!AV65*'07c_ATC_Ajustado'!$L$63,0)</f>
        <v>0</v>
      </c>
      <c r="AW65" s="427">
        <f>IFERROR('07a_ATC'!AW65*'07c_ATC_Ajustado'!$L$63,0)</f>
        <v>0</v>
      </c>
      <c r="AX65" s="427">
        <f>IFERROR('07a_ATC'!AX65*'07c_ATC_Ajustado'!$L$63,0)</f>
        <v>0</v>
      </c>
      <c r="AY65" s="427">
        <f>IFERROR('07a_ATC'!AY65*'07c_ATC_Ajustado'!$L$63,0)</f>
        <v>0</v>
      </c>
      <c r="AZ65" s="427">
        <f>IFERROR('07a_ATC'!AZ65*'07c_ATC_Ajustado'!$L$63,0)</f>
        <v>0</v>
      </c>
      <c r="BA65" s="427">
        <f>IFERROR('07a_ATC'!BA65*'07c_ATC_Ajustado'!$L$63,0)</f>
        <v>0</v>
      </c>
      <c r="BB65" s="427">
        <f>IFERROR('07a_ATC'!BB65*'07c_ATC_Ajustado'!$L$63,0)</f>
        <v>0</v>
      </c>
      <c r="BC65" s="427">
        <f>IFERROR('07a_ATC'!BC65*'07c_ATC_Ajustado'!$L$63,0)</f>
        <v>0</v>
      </c>
      <c r="BD65" s="427">
        <f>IFERROR('07a_ATC'!BD65*'07c_ATC_Ajustado'!$L$63,0)</f>
        <v>0</v>
      </c>
      <c r="BE65" s="427">
        <f>IFERROR('07a_ATC'!BE65*'07c_ATC_Ajustado'!$L$63,0)</f>
        <v>0</v>
      </c>
      <c r="BF65" s="427">
        <f>IFERROR('07a_ATC'!BF65*'07c_ATC_Ajustado'!$L$63,0)</f>
        <v>0</v>
      </c>
    </row>
    <row r="66" spans="1:58">
      <c r="A66" s="450"/>
      <c r="B66" s="424"/>
      <c r="C66" s="424"/>
      <c r="D66" s="424"/>
      <c r="E66" s="424"/>
      <c r="F66" s="424"/>
      <c r="G66" s="424"/>
      <c r="H66" s="462"/>
      <c r="I66" s="424"/>
      <c r="J66" s="424"/>
      <c r="K66" s="459"/>
      <c r="L66" s="465" t="str">
        <f>'00_Datos_Mercado'!$B$5</f>
        <v>c_CS - Grandes Superficies</v>
      </c>
      <c r="M66" s="429">
        <f t="shared" si="23"/>
        <v>0</v>
      </c>
      <c r="N66" s="427">
        <f>IFERROR('07a_ATC'!N66*'07c_ATC_Ajustado'!$L$63,0)</f>
        <v>0</v>
      </c>
      <c r="O66" s="427">
        <f>IFERROR('07a_ATC'!O66*'07c_ATC_Ajustado'!$L$63,0)</f>
        <v>0</v>
      </c>
      <c r="P66" s="427">
        <f>IFERROR('07a_ATC'!P66*'07c_ATC_Ajustado'!$L$63,0)</f>
        <v>0</v>
      </c>
      <c r="Q66" s="427">
        <f>IFERROR('07a_ATC'!Q66*'07c_ATC_Ajustado'!$L$63,0)</f>
        <v>0</v>
      </c>
      <c r="R66" s="427">
        <f>IFERROR('07a_ATC'!R66*'07c_ATC_Ajustado'!$L$63,0)</f>
        <v>0</v>
      </c>
      <c r="S66" s="427">
        <f>IFERROR('07a_ATC'!S66*'07c_ATC_Ajustado'!$L$63,0)</f>
        <v>0</v>
      </c>
      <c r="T66" s="427">
        <f>IFERROR('07a_ATC'!T66*'07c_ATC_Ajustado'!$L$63,0)</f>
        <v>0</v>
      </c>
      <c r="U66" s="427">
        <f>IFERROR('07a_ATC'!U66*'07c_ATC_Ajustado'!$L$63,0)</f>
        <v>0</v>
      </c>
      <c r="V66" s="427">
        <f>IFERROR('07a_ATC'!V66*'07c_ATC_Ajustado'!$L$63,0)</f>
        <v>0</v>
      </c>
      <c r="W66" s="427">
        <f>IFERROR('07a_ATC'!W66*'07c_ATC_Ajustado'!$L$63,0)</f>
        <v>0</v>
      </c>
      <c r="X66" s="427">
        <f>IFERROR('07a_ATC'!X66*'07c_ATC_Ajustado'!$L$63,0)</f>
        <v>0</v>
      </c>
      <c r="Y66" s="427">
        <f>IFERROR('07a_ATC'!Y66*'07c_ATC_Ajustado'!$L$63,0)</f>
        <v>0</v>
      </c>
      <c r="Z66" s="427">
        <f>IFERROR('07a_ATC'!Z66*'07c_ATC_Ajustado'!$L$63,0)</f>
        <v>0</v>
      </c>
      <c r="AA66" s="427">
        <f>IFERROR('07a_ATC'!AA66*'07c_ATC_Ajustado'!$L$63,0)</f>
        <v>0</v>
      </c>
      <c r="AB66" s="427">
        <f>IFERROR('07a_ATC'!AB66*'07c_ATC_Ajustado'!$L$63,0)</f>
        <v>0</v>
      </c>
      <c r="AC66" s="427">
        <f>IFERROR('07a_ATC'!AC66*'07c_ATC_Ajustado'!$L$63,0)</f>
        <v>0</v>
      </c>
      <c r="AD66" s="427">
        <f>IFERROR('07a_ATC'!AD66*'07c_ATC_Ajustado'!$L$63,0)</f>
        <v>0</v>
      </c>
      <c r="AE66" s="427">
        <f>IFERROR('07a_ATC'!AE66*'07c_ATC_Ajustado'!$L$63,0)</f>
        <v>0</v>
      </c>
      <c r="AF66" s="427">
        <f>IFERROR('07a_ATC'!AF66*'07c_ATC_Ajustado'!$L$63,0)</f>
        <v>0</v>
      </c>
      <c r="AG66" s="427">
        <f>IFERROR('07a_ATC'!AG66*'07c_ATC_Ajustado'!$L$63,0)</f>
        <v>0</v>
      </c>
      <c r="AH66" s="427">
        <f>IFERROR('07a_ATC'!AH66*'07c_ATC_Ajustado'!$L$63,0)</f>
        <v>0</v>
      </c>
      <c r="AI66" s="427">
        <f>IFERROR('07a_ATC'!AI66*'07c_ATC_Ajustado'!$L$63,0)</f>
        <v>0</v>
      </c>
      <c r="AJ66" s="427">
        <f>IFERROR('07a_ATC'!AJ66*'07c_ATC_Ajustado'!$L$63,0)</f>
        <v>0</v>
      </c>
      <c r="AK66" s="427">
        <f>IFERROR('07a_ATC'!AK66*'07c_ATC_Ajustado'!$L$63,0)</f>
        <v>0</v>
      </c>
      <c r="AL66" s="427">
        <f>IFERROR('07a_ATC'!AL66*'07c_ATC_Ajustado'!$L$63,0)</f>
        <v>0</v>
      </c>
      <c r="AM66" s="427">
        <f>IFERROR('07a_ATC'!AM66*'07c_ATC_Ajustado'!$L$63,0)</f>
        <v>0</v>
      </c>
      <c r="AN66" s="427">
        <f>IFERROR('07a_ATC'!AN66*'07c_ATC_Ajustado'!$L$63,0)</f>
        <v>0</v>
      </c>
      <c r="AO66" s="427">
        <f>IFERROR('07a_ATC'!AO66*'07c_ATC_Ajustado'!$L$63,0)</f>
        <v>0</v>
      </c>
      <c r="AP66" s="427">
        <f>IFERROR('07a_ATC'!AP66*'07c_ATC_Ajustado'!$L$63,0)</f>
        <v>0</v>
      </c>
      <c r="AQ66" s="427">
        <f>IFERROR('07a_ATC'!AQ66*'07c_ATC_Ajustado'!$L$63,0)</f>
        <v>0</v>
      </c>
      <c r="AR66" s="427">
        <f>IFERROR('07a_ATC'!AR66*'07c_ATC_Ajustado'!$L$63,0)</f>
        <v>0</v>
      </c>
      <c r="AS66" s="427">
        <f>IFERROR('07a_ATC'!AS66*'07c_ATC_Ajustado'!$L$63,0)</f>
        <v>0</v>
      </c>
      <c r="AT66" s="427">
        <f>IFERROR('07a_ATC'!AT66*'07c_ATC_Ajustado'!$L$63,0)</f>
        <v>0</v>
      </c>
      <c r="AU66" s="427">
        <f>IFERROR('07a_ATC'!AU66*'07c_ATC_Ajustado'!$L$63,0)</f>
        <v>0</v>
      </c>
      <c r="AV66" s="427">
        <f>IFERROR('07a_ATC'!AV66*'07c_ATC_Ajustado'!$L$63,0)</f>
        <v>0</v>
      </c>
      <c r="AW66" s="427">
        <f>IFERROR('07a_ATC'!AW66*'07c_ATC_Ajustado'!$L$63,0)</f>
        <v>0</v>
      </c>
      <c r="AX66" s="427">
        <f>IFERROR('07a_ATC'!AX66*'07c_ATC_Ajustado'!$L$63,0)</f>
        <v>0</v>
      </c>
      <c r="AY66" s="427">
        <f>IFERROR('07a_ATC'!AY66*'07c_ATC_Ajustado'!$L$63,0)</f>
        <v>0</v>
      </c>
      <c r="AZ66" s="427">
        <f>IFERROR('07a_ATC'!AZ66*'07c_ATC_Ajustado'!$L$63,0)</f>
        <v>0</v>
      </c>
      <c r="BA66" s="427">
        <f>IFERROR('07a_ATC'!BA66*'07c_ATC_Ajustado'!$L$63,0)</f>
        <v>0</v>
      </c>
      <c r="BB66" s="427">
        <f>IFERROR('07a_ATC'!BB66*'07c_ATC_Ajustado'!$L$63,0)</f>
        <v>0</v>
      </c>
      <c r="BC66" s="427">
        <f>IFERROR('07a_ATC'!BC66*'07c_ATC_Ajustado'!$L$63,0)</f>
        <v>0</v>
      </c>
      <c r="BD66" s="427">
        <f>IFERROR('07a_ATC'!BD66*'07c_ATC_Ajustado'!$L$63,0)</f>
        <v>0</v>
      </c>
      <c r="BE66" s="427">
        <f>IFERROR('07a_ATC'!BE66*'07c_ATC_Ajustado'!$L$63,0)</f>
        <v>0</v>
      </c>
      <c r="BF66" s="427">
        <f>IFERROR('07a_ATC'!BF66*'07c_ATC_Ajustado'!$L$63,0)</f>
        <v>0</v>
      </c>
    </row>
    <row r="67" spans="1:58">
      <c r="A67" s="450"/>
      <c r="B67" s="424"/>
      <c r="C67" s="424"/>
      <c r="D67" s="424"/>
      <c r="E67" s="424"/>
      <c r="F67" s="424"/>
      <c r="G67" s="424"/>
      <c r="H67" s="462"/>
      <c r="I67" s="424"/>
      <c r="J67" s="424"/>
      <c r="K67" s="459"/>
      <c r="L67" s="466" t="str">
        <f>'00_Datos_Mercado'!$B$6</f>
        <v>d_CS - Torre Empresarial (Oficinas + Hospedaje)</v>
      </c>
      <c r="M67" s="429">
        <f t="shared" si="23"/>
        <v>0</v>
      </c>
      <c r="N67" s="427">
        <f>IFERROR('07a_ATC'!N67*'07c_ATC_Ajustado'!$L$63,0)</f>
        <v>0</v>
      </c>
      <c r="O67" s="427">
        <f>IFERROR('07a_ATC'!O67*'07c_ATC_Ajustado'!$L$63,0)</f>
        <v>0</v>
      </c>
      <c r="P67" s="427">
        <f>IFERROR('07a_ATC'!P67*'07c_ATC_Ajustado'!$L$63,0)</f>
        <v>0</v>
      </c>
      <c r="Q67" s="427">
        <f>IFERROR('07a_ATC'!Q67*'07c_ATC_Ajustado'!$L$63,0)</f>
        <v>0</v>
      </c>
      <c r="R67" s="427">
        <f>IFERROR('07a_ATC'!R67*'07c_ATC_Ajustado'!$L$63,0)</f>
        <v>0</v>
      </c>
      <c r="S67" s="427">
        <f>IFERROR('07a_ATC'!S67*'07c_ATC_Ajustado'!$L$63,0)</f>
        <v>0</v>
      </c>
      <c r="T67" s="427">
        <f>IFERROR('07a_ATC'!T67*'07c_ATC_Ajustado'!$L$63,0)</f>
        <v>0</v>
      </c>
      <c r="U67" s="427">
        <f>IFERROR('07a_ATC'!U67*'07c_ATC_Ajustado'!$L$63,0)</f>
        <v>0</v>
      </c>
      <c r="V67" s="427">
        <f>IFERROR('07a_ATC'!V67*'07c_ATC_Ajustado'!$L$63,0)</f>
        <v>0</v>
      </c>
      <c r="W67" s="427">
        <f>IFERROR('07a_ATC'!W67*'07c_ATC_Ajustado'!$L$63,0)</f>
        <v>0</v>
      </c>
      <c r="X67" s="427">
        <f>IFERROR('07a_ATC'!X67*'07c_ATC_Ajustado'!$L$63,0)</f>
        <v>0</v>
      </c>
      <c r="Y67" s="427">
        <f>IFERROR('07a_ATC'!Y67*'07c_ATC_Ajustado'!$L$63,0)</f>
        <v>0</v>
      </c>
      <c r="Z67" s="427">
        <f>IFERROR('07a_ATC'!Z67*'07c_ATC_Ajustado'!$L$63,0)</f>
        <v>0</v>
      </c>
      <c r="AA67" s="427">
        <f>IFERROR('07a_ATC'!AA67*'07c_ATC_Ajustado'!$L$63,0)</f>
        <v>0</v>
      </c>
      <c r="AB67" s="427">
        <f>IFERROR('07a_ATC'!AB67*'07c_ATC_Ajustado'!$L$63,0)</f>
        <v>0</v>
      </c>
      <c r="AC67" s="427">
        <f>IFERROR('07a_ATC'!AC67*'07c_ATC_Ajustado'!$L$63,0)</f>
        <v>0</v>
      </c>
      <c r="AD67" s="427">
        <f>IFERROR('07a_ATC'!AD67*'07c_ATC_Ajustado'!$L$63,0)</f>
        <v>0</v>
      </c>
      <c r="AE67" s="427">
        <f>IFERROR('07a_ATC'!AE67*'07c_ATC_Ajustado'!$L$63,0)</f>
        <v>0</v>
      </c>
      <c r="AF67" s="427">
        <f>IFERROR('07a_ATC'!AF67*'07c_ATC_Ajustado'!$L$63,0)</f>
        <v>0</v>
      </c>
      <c r="AG67" s="427">
        <f>IFERROR('07a_ATC'!AG67*'07c_ATC_Ajustado'!$L$63,0)</f>
        <v>0</v>
      </c>
      <c r="AH67" s="427">
        <f>IFERROR('07a_ATC'!AH67*'07c_ATC_Ajustado'!$L$63,0)</f>
        <v>0</v>
      </c>
      <c r="AI67" s="427">
        <f>IFERROR('07a_ATC'!AI67*'07c_ATC_Ajustado'!$L$63,0)</f>
        <v>0</v>
      </c>
      <c r="AJ67" s="427">
        <f>IFERROR('07a_ATC'!AJ67*'07c_ATC_Ajustado'!$L$63,0)</f>
        <v>0</v>
      </c>
      <c r="AK67" s="427">
        <f>IFERROR('07a_ATC'!AK67*'07c_ATC_Ajustado'!$L$63,0)</f>
        <v>0</v>
      </c>
      <c r="AL67" s="427">
        <f>IFERROR('07a_ATC'!AL67*'07c_ATC_Ajustado'!$L$63,0)</f>
        <v>0</v>
      </c>
      <c r="AM67" s="427">
        <f>IFERROR('07a_ATC'!AM67*'07c_ATC_Ajustado'!$L$63,0)</f>
        <v>0</v>
      </c>
      <c r="AN67" s="427">
        <f>IFERROR('07a_ATC'!AN67*'07c_ATC_Ajustado'!$L$63,0)</f>
        <v>0</v>
      </c>
      <c r="AO67" s="427">
        <f>IFERROR('07a_ATC'!AO67*'07c_ATC_Ajustado'!$L$63,0)</f>
        <v>0</v>
      </c>
      <c r="AP67" s="427">
        <f>IFERROR('07a_ATC'!AP67*'07c_ATC_Ajustado'!$L$63,0)</f>
        <v>0</v>
      </c>
      <c r="AQ67" s="427">
        <f>IFERROR('07a_ATC'!AQ67*'07c_ATC_Ajustado'!$L$63,0)</f>
        <v>0</v>
      </c>
      <c r="AR67" s="427">
        <f>IFERROR('07a_ATC'!AR67*'07c_ATC_Ajustado'!$L$63,0)</f>
        <v>0</v>
      </c>
      <c r="AS67" s="427">
        <f>IFERROR('07a_ATC'!AS67*'07c_ATC_Ajustado'!$L$63,0)</f>
        <v>0</v>
      </c>
      <c r="AT67" s="427">
        <f>IFERROR('07a_ATC'!AT67*'07c_ATC_Ajustado'!$L$63,0)</f>
        <v>0</v>
      </c>
      <c r="AU67" s="427">
        <f>IFERROR('07a_ATC'!AU67*'07c_ATC_Ajustado'!$L$63,0)</f>
        <v>0</v>
      </c>
      <c r="AV67" s="427">
        <f>IFERROR('07a_ATC'!AV67*'07c_ATC_Ajustado'!$L$63,0)</f>
        <v>0</v>
      </c>
      <c r="AW67" s="427">
        <f>IFERROR('07a_ATC'!AW67*'07c_ATC_Ajustado'!$L$63,0)</f>
        <v>0</v>
      </c>
      <c r="AX67" s="427">
        <f>IFERROR('07a_ATC'!AX67*'07c_ATC_Ajustado'!$L$63,0)</f>
        <v>0</v>
      </c>
      <c r="AY67" s="427">
        <f>IFERROR('07a_ATC'!AY67*'07c_ATC_Ajustado'!$L$63,0)</f>
        <v>0</v>
      </c>
      <c r="AZ67" s="427">
        <f>IFERROR('07a_ATC'!AZ67*'07c_ATC_Ajustado'!$L$63,0)</f>
        <v>0</v>
      </c>
      <c r="BA67" s="427">
        <f>IFERROR('07a_ATC'!BA67*'07c_ATC_Ajustado'!$L$63,0)</f>
        <v>0</v>
      </c>
      <c r="BB67" s="427">
        <f>IFERROR('07a_ATC'!BB67*'07c_ATC_Ajustado'!$L$63,0)</f>
        <v>0</v>
      </c>
      <c r="BC67" s="427">
        <f>IFERROR('07a_ATC'!BC67*'07c_ATC_Ajustado'!$L$63,0)</f>
        <v>0</v>
      </c>
      <c r="BD67" s="427">
        <f>IFERROR('07a_ATC'!BD67*'07c_ATC_Ajustado'!$L$63,0)</f>
        <v>0</v>
      </c>
      <c r="BE67" s="427">
        <f>IFERROR('07a_ATC'!BE67*'07c_ATC_Ajustado'!$L$63,0)</f>
        <v>0</v>
      </c>
      <c r="BF67" s="427">
        <f>IFERROR('07a_ATC'!BF67*'07c_ATC_Ajustado'!$L$63,0)</f>
        <v>0</v>
      </c>
    </row>
    <row r="68" spans="1:58">
      <c r="A68" s="450"/>
      <c r="B68" s="424"/>
      <c r="C68" s="424"/>
      <c r="D68" s="424"/>
      <c r="E68" s="424"/>
      <c r="F68" s="424"/>
      <c r="G68" s="424"/>
      <c r="H68" s="462"/>
      <c r="I68" s="424"/>
      <c r="J68" s="424"/>
      <c r="K68" s="459"/>
      <c r="L68" s="467" t="str">
        <f>'00_Datos_Mercado'!$B$7</f>
        <v>e_CS - Innovation (H, CS, Gamers)</v>
      </c>
      <c r="M68" s="429">
        <f t="shared" si="23"/>
        <v>0</v>
      </c>
      <c r="N68" s="427">
        <f>IFERROR('07a_ATC'!N68*'07c_ATC_Ajustado'!$L$63,0)</f>
        <v>0</v>
      </c>
      <c r="O68" s="427">
        <f>IFERROR('07a_ATC'!O68*'07c_ATC_Ajustado'!$L$63,0)</f>
        <v>0</v>
      </c>
      <c r="P68" s="427">
        <f>IFERROR('07a_ATC'!P68*'07c_ATC_Ajustado'!$L$63,0)</f>
        <v>0</v>
      </c>
      <c r="Q68" s="427">
        <f>IFERROR('07a_ATC'!Q68*'07c_ATC_Ajustado'!$L$63,0)</f>
        <v>0</v>
      </c>
      <c r="R68" s="427">
        <f>IFERROR('07a_ATC'!R68*'07c_ATC_Ajustado'!$L$63,0)</f>
        <v>0</v>
      </c>
      <c r="S68" s="427">
        <f>IFERROR('07a_ATC'!S68*'07c_ATC_Ajustado'!$L$63,0)</f>
        <v>0</v>
      </c>
      <c r="T68" s="427">
        <f>IFERROR('07a_ATC'!T68*'07c_ATC_Ajustado'!$L$63,0)</f>
        <v>0</v>
      </c>
      <c r="U68" s="427">
        <f>IFERROR('07a_ATC'!U68*'07c_ATC_Ajustado'!$L$63,0)</f>
        <v>0</v>
      </c>
      <c r="V68" s="427">
        <f>IFERROR('07a_ATC'!V68*'07c_ATC_Ajustado'!$L$63,0)</f>
        <v>0</v>
      </c>
      <c r="W68" s="427">
        <f>IFERROR('07a_ATC'!W68*'07c_ATC_Ajustado'!$L$63,0)</f>
        <v>0</v>
      </c>
      <c r="X68" s="427">
        <f>IFERROR('07a_ATC'!X68*'07c_ATC_Ajustado'!$L$63,0)</f>
        <v>0</v>
      </c>
      <c r="Y68" s="427">
        <f>IFERROR('07a_ATC'!Y68*'07c_ATC_Ajustado'!$L$63,0)</f>
        <v>0</v>
      </c>
      <c r="Z68" s="427">
        <f>IFERROR('07a_ATC'!Z68*'07c_ATC_Ajustado'!$L$63,0)</f>
        <v>0</v>
      </c>
      <c r="AA68" s="427">
        <f>IFERROR('07a_ATC'!AA68*'07c_ATC_Ajustado'!$L$63,0)</f>
        <v>0</v>
      </c>
      <c r="AB68" s="427">
        <f>IFERROR('07a_ATC'!AB68*'07c_ATC_Ajustado'!$L$63,0)</f>
        <v>0</v>
      </c>
      <c r="AC68" s="427">
        <f>IFERROR('07a_ATC'!AC68*'07c_ATC_Ajustado'!$L$63,0)</f>
        <v>0</v>
      </c>
      <c r="AD68" s="427">
        <f>IFERROR('07a_ATC'!AD68*'07c_ATC_Ajustado'!$L$63,0)</f>
        <v>0</v>
      </c>
      <c r="AE68" s="427">
        <f>IFERROR('07a_ATC'!AE68*'07c_ATC_Ajustado'!$L$63,0)</f>
        <v>0</v>
      </c>
      <c r="AF68" s="427">
        <f>IFERROR('07a_ATC'!AF68*'07c_ATC_Ajustado'!$L$63,0)</f>
        <v>0</v>
      </c>
      <c r="AG68" s="427">
        <f>IFERROR('07a_ATC'!AG68*'07c_ATC_Ajustado'!$L$63,0)</f>
        <v>0</v>
      </c>
      <c r="AH68" s="427">
        <f>IFERROR('07a_ATC'!AH68*'07c_ATC_Ajustado'!$L$63,0)</f>
        <v>0</v>
      </c>
      <c r="AI68" s="427">
        <f>IFERROR('07a_ATC'!AI68*'07c_ATC_Ajustado'!$L$63,0)</f>
        <v>0</v>
      </c>
      <c r="AJ68" s="427">
        <f>IFERROR('07a_ATC'!AJ68*'07c_ATC_Ajustado'!$L$63,0)</f>
        <v>0</v>
      </c>
      <c r="AK68" s="427">
        <f>IFERROR('07a_ATC'!AK68*'07c_ATC_Ajustado'!$L$63,0)</f>
        <v>0</v>
      </c>
      <c r="AL68" s="427">
        <f>IFERROR('07a_ATC'!AL68*'07c_ATC_Ajustado'!$L$63,0)</f>
        <v>0</v>
      </c>
      <c r="AM68" s="427">
        <f>IFERROR('07a_ATC'!AM68*'07c_ATC_Ajustado'!$L$63,0)</f>
        <v>0</v>
      </c>
      <c r="AN68" s="427">
        <f>IFERROR('07a_ATC'!AN68*'07c_ATC_Ajustado'!$L$63,0)</f>
        <v>0</v>
      </c>
      <c r="AO68" s="427">
        <f>IFERROR('07a_ATC'!AO68*'07c_ATC_Ajustado'!$L$63,0)</f>
        <v>0</v>
      </c>
      <c r="AP68" s="427">
        <f>IFERROR('07a_ATC'!AP68*'07c_ATC_Ajustado'!$L$63,0)</f>
        <v>0</v>
      </c>
      <c r="AQ68" s="427">
        <f>IFERROR('07a_ATC'!AQ68*'07c_ATC_Ajustado'!$L$63,0)</f>
        <v>0</v>
      </c>
      <c r="AR68" s="427">
        <f>IFERROR('07a_ATC'!AR68*'07c_ATC_Ajustado'!$L$63,0)</f>
        <v>0</v>
      </c>
      <c r="AS68" s="427">
        <f>IFERROR('07a_ATC'!AS68*'07c_ATC_Ajustado'!$L$63,0)</f>
        <v>0</v>
      </c>
      <c r="AT68" s="427">
        <f>IFERROR('07a_ATC'!AT68*'07c_ATC_Ajustado'!$L$63,0)</f>
        <v>0</v>
      </c>
      <c r="AU68" s="427">
        <f>IFERROR('07a_ATC'!AU68*'07c_ATC_Ajustado'!$L$63,0)</f>
        <v>0</v>
      </c>
      <c r="AV68" s="427">
        <f>IFERROR('07a_ATC'!AV68*'07c_ATC_Ajustado'!$L$63,0)</f>
        <v>0</v>
      </c>
      <c r="AW68" s="427">
        <f>IFERROR('07a_ATC'!AW68*'07c_ATC_Ajustado'!$L$63,0)</f>
        <v>0</v>
      </c>
      <c r="AX68" s="427">
        <f>IFERROR('07a_ATC'!AX68*'07c_ATC_Ajustado'!$L$63,0)</f>
        <v>0</v>
      </c>
      <c r="AY68" s="427">
        <f>IFERROR('07a_ATC'!AY68*'07c_ATC_Ajustado'!$L$63,0)</f>
        <v>0</v>
      </c>
      <c r="AZ68" s="427">
        <f>IFERROR('07a_ATC'!AZ68*'07c_ATC_Ajustado'!$L$63,0)</f>
        <v>0</v>
      </c>
      <c r="BA68" s="427">
        <f>IFERROR('07a_ATC'!BA68*'07c_ATC_Ajustado'!$L$63,0)</f>
        <v>0</v>
      </c>
      <c r="BB68" s="427">
        <f>IFERROR('07a_ATC'!BB68*'07c_ATC_Ajustado'!$L$63,0)</f>
        <v>0</v>
      </c>
      <c r="BC68" s="427">
        <f>IFERROR('07a_ATC'!BC68*'07c_ATC_Ajustado'!$L$63,0)</f>
        <v>0</v>
      </c>
      <c r="BD68" s="427">
        <f>IFERROR('07a_ATC'!BD68*'07c_ATC_Ajustado'!$L$63,0)</f>
        <v>0</v>
      </c>
      <c r="BE68" s="427">
        <f>IFERROR('07a_ATC'!BE68*'07c_ATC_Ajustado'!$L$63,0)</f>
        <v>0</v>
      </c>
      <c r="BF68" s="427">
        <f>IFERROR('07a_ATC'!BF68*'07c_ATC_Ajustado'!$L$63,0)</f>
        <v>0</v>
      </c>
    </row>
    <row r="69" spans="1:58">
      <c r="A69" s="450"/>
      <c r="B69" s="424"/>
      <c r="C69" s="424"/>
      <c r="D69" s="424"/>
      <c r="E69" s="424"/>
      <c r="F69" s="424"/>
      <c r="G69" s="424"/>
      <c r="H69" s="462"/>
      <c r="I69" s="424"/>
      <c r="J69" s="424"/>
      <c r="K69" s="459"/>
      <c r="L69" s="468" t="str">
        <f>'00_Datos_Mercado'!$B$8</f>
        <v xml:space="preserve">f_RES - VIS Ru </v>
      </c>
      <c r="M69" s="429">
        <f t="shared" si="23"/>
        <v>16201.754810424713</v>
      </c>
      <c r="N69" s="427">
        <f>IFERROR('07a_ATC'!N69*'07c_ATC_Ajustado'!$L$63,0)</f>
        <v>0</v>
      </c>
      <c r="O69" s="427">
        <f>IFERROR('07a_ATC'!O69*'07c_ATC_Ajustado'!$L$63,0)</f>
        <v>0</v>
      </c>
      <c r="P69" s="427">
        <f>IFERROR('07a_ATC'!P69*'07c_ATC_Ajustado'!$L$63,0)</f>
        <v>0</v>
      </c>
      <c r="Q69" s="427">
        <f>IFERROR('07a_ATC'!Q69*'07c_ATC_Ajustado'!$L$63,0)</f>
        <v>0</v>
      </c>
      <c r="R69" s="427">
        <f>IFERROR('07a_ATC'!R69*'07c_ATC_Ajustado'!$L$63,0)</f>
        <v>0</v>
      </c>
      <c r="S69" s="427">
        <f>IFERROR('07a_ATC'!S69*'07c_ATC_Ajustado'!$L$63,0)</f>
        <v>4050.4387026061781</v>
      </c>
      <c r="T69" s="427">
        <f>IFERROR('07a_ATC'!T69*'07c_ATC_Ajustado'!$L$63,0)</f>
        <v>4050.4387026061781</v>
      </c>
      <c r="U69" s="427">
        <f>IFERROR('07a_ATC'!U69*'07c_ATC_Ajustado'!$L$63,0)</f>
        <v>4050.4387026061781</v>
      </c>
      <c r="V69" s="427">
        <f>IFERROR('07a_ATC'!V69*'07c_ATC_Ajustado'!$L$63,0)</f>
        <v>4050.4387026061781</v>
      </c>
      <c r="W69" s="427">
        <f>IFERROR('07a_ATC'!W69*'07c_ATC_Ajustado'!$L$63,0)</f>
        <v>0</v>
      </c>
      <c r="X69" s="427">
        <f>IFERROR('07a_ATC'!X69*'07c_ATC_Ajustado'!$L$63,0)</f>
        <v>0</v>
      </c>
      <c r="Y69" s="427">
        <f>IFERROR('07a_ATC'!Y69*'07c_ATC_Ajustado'!$L$63,0)</f>
        <v>0</v>
      </c>
      <c r="Z69" s="427">
        <f>IFERROR('07a_ATC'!Z69*'07c_ATC_Ajustado'!$L$63,0)</f>
        <v>0</v>
      </c>
      <c r="AA69" s="427">
        <f>IFERROR('07a_ATC'!AA69*'07c_ATC_Ajustado'!$L$63,0)</f>
        <v>0</v>
      </c>
      <c r="AB69" s="427">
        <f>IFERROR('07a_ATC'!AB69*'07c_ATC_Ajustado'!$L$63,0)</f>
        <v>0</v>
      </c>
      <c r="AC69" s="427">
        <f>IFERROR('07a_ATC'!AC69*'07c_ATC_Ajustado'!$L$63,0)</f>
        <v>0</v>
      </c>
      <c r="AD69" s="427">
        <f>IFERROR('07a_ATC'!AD69*'07c_ATC_Ajustado'!$L$63,0)</f>
        <v>0</v>
      </c>
      <c r="AE69" s="427">
        <f>IFERROR('07a_ATC'!AE69*'07c_ATC_Ajustado'!$L$63,0)</f>
        <v>0</v>
      </c>
      <c r="AF69" s="427">
        <f>IFERROR('07a_ATC'!AF69*'07c_ATC_Ajustado'!$L$63,0)</f>
        <v>0</v>
      </c>
      <c r="AG69" s="427">
        <f>IFERROR('07a_ATC'!AG69*'07c_ATC_Ajustado'!$L$63,0)</f>
        <v>0</v>
      </c>
      <c r="AH69" s="427">
        <f>IFERROR('07a_ATC'!AH69*'07c_ATC_Ajustado'!$L$63,0)</f>
        <v>0</v>
      </c>
      <c r="AI69" s="427">
        <f>IFERROR('07a_ATC'!AI69*'07c_ATC_Ajustado'!$L$63,0)</f>
        <v>0</v>
      </c>
      <c r="AJ69" s="427">
        <f>IFERROR('07a_ATC'!AJ69*'07c_ATC_Ajustado'!$L$63,0)</f>
        <v>0</v>
      </c>
      <c r="AK69" s="427">
        <f>IFERROR('07a_ATC'!AK69*'07c_ATC_Ajustado'!$L$63,0)</f>
        <v>0</v>
      </c>
      <c r="AL69" s="427">
        <f>IFERROR('07a_ATC'!AL69*'07c_ATC_Ajustado'!$L$63,0)</f>
        <v>0</v>
      </c>
      <c r="AM69" s="427">
        <f>IFERROR('07a_ATC'!AM69*'07c_ATC_Ajustado'!$L$63,0)</f>
        <v>0</v>
      </c>
      <c r="AN69" s="427">
        <f>IFERROR('07a_ATC'!AN69*'07c_ATC_Ajustado'!$L$63,0)</f>
        <v>0</v>
      </c>
      <c r="AO69" s="427">
        <f>IFERROR('07a_ATC'!AO69*'07c_ATC_Ajustado'!$L$63,0)</f>
        <v>0</v>
      </c>
      <c r="AP69" s="427">
        <f>IFERROR('07a_ATC'!AP69*'07c_ATC_Ajustado'!$L$63,0)</f>
        <v>0</v>
      </c>
      <c r="AQ69" s="427">
        <f>IFERROR('07a_ATC'!AQ69*'07c_ATC_Ajustado'!$L$63,0)</f>
        <v>0</v>
      </c>
      <c r="AR69" s="427">
        <f>IFERROR('07a_ATC'!AR69*'07c_ATC_Ajustado'!$L$63,0)</f>
        <v>0</v>
      </c>
      <c r="AS69" s="427">
        <f>IFERROR('07a_ATC'!AS69*'07c_ATC_Ajustado'!$L$63,0)</f>
        <v>0</v>
      </c>
      <c r="AT69" s="427">
        <f>IFERROR('07a_ATC'!AT69*'07c_ATC_Ajustado'!$L$63,0)</f>
        <v>0</v>
      </c>
      <c r="AU69" s="427">
        <f>IFERROR('07a_ATC'!AU69*'07c_ATC_Ajustado'!$L$63,0)</f>
        <v>0</v>
      </c>
      <c r="AV69" s="427">
        <f>IFERROR('07a_ATC'!AV69*'07c_ATC_Ajustado'!$L$63,0)</f>
        <v>0</v>
      </c>
      <c r="AW69" s="427">
        <f>IFERROR('07a_ATC'!AW69*'07c_ATC_Ajustado'!$L$63,0)</f>
        <v>0</v>
      </c>
      <c r="AX69" s="427">
        <f>IFERROR('07a_ATC'!AX69*'07c_ATC_Ajustado'!$L$63,0)</f>
        <v>0</v>
      </c>
      <c r="AY69" s="427">
        <f>IFERROR('07a_ATC'!AY69*'07c_ATC_Ajustado'!$L$63,0)</f>
        <v>0</v>
      </c>
      <c r="AZ69" s="427">
        <f>IFERROR('07a_ATC'!AZ69*'07c_ATC_Ajustado'!$L$63,0)</f>
        <v>0</v>
      </c>
      <c r="BA69" s="427">
        <f>IFERROR('07a_ATC'!BA69*'07c_ATC_Ajustado'!$L$63,0)</f>
        <v>0</v>
      </c>
      <c r="BB69" s="427">
        <f>IFERROR('07a_ATC'!BB69*'07c_ATC_Ajustado'!$L$63,0)</f>
        <v>0</v>
      </c>
      <c r="BC69" s="427">
        <f>IFERROR('07a_ATC'!BC69*'07c_ATC_Ajustado'!$L$63,0)</f>
        <v>0</v>
      </c>
      <c r="BD69" s="427">
        <f>IFERROR('07a_ATC'!BD69*'07c_ATC_Ajustado'!$L$63,0)</f>
        <v>0</v>
      </c>
      <c r="BE69" s="427">
        <f>IFERROR('07a_ATC'!BE69*'07c_ATC_Ajustado'!$L$63,0)</f>
        <v>0</v>
      </c>
      <c r="BF69" s="427">
        <f>IFERROR('07a_ATC'!BF69*'07c_ATC_Ajustado'!$L$63,0)</f>
        <v>0</v>
      </c>
    </row>
    <row r="70" spans="1:58">
      <c r="A70" s="450"/>
      <c r="B70" s="424"/>
      <c r="C70" s="424"/>
      <c r="D70" s="424"/>
      <c r="E70" s="424"/>
      <c r="F70" s="424"/>
      <c r="G70" s="424"/>
      <c r="H70" s="462"/>
      <c r="I70" s="424"/>
      <c r="J70" s="424"/>
      <c r="K70" s="459"/>
      <c r="L70" s="469" t="str">
        <f>'00_Datos_Mercado'!$B$10</f>
        <v>i_RES - No VIS</v>
      </c>
      <c r="M70" s="429">
        <f t="shared" si="23"/>
        <v>109361.84497036679</v>
      </c>
      <c r="N70" s="427">
        <f>IFERROR('07a_ATC'!N70*'07c_ATC_Ajustado'!$L$63,0)</f>
        <v>0</v>
      </c>
      <c r="O70" s="427">
        <f>IFERROR('07a_ATC'!O70*'07c_ATC_Ajustado'!$L$63,0)</f>
        <v>0</v>
      </c>
      <c r="P70" s="427">
        <f>IFERROR('07a_ATC'!P70*'07c_ATC_Ajustado'!$L$63,0)</f>
        <v>0</v>
      </c>
      <c r="Q70" s="427">
        <f>IFERROR('07a_ATC'!Q70*'07c_ATC_Ajustado'!$L$63,0)</f>
        <v>0</v>
      </c>
      <c r="R70" s="427">
        <f>IFERROR('07a_ATC'!R70*'07c_ATC_Ajustado'!$L$63,0)</f>
        <v>0</v>
      </c>
      <c r="S70" s="427">
        <f>IFERROR('07a_ATC'!S70*'07c_ATC_Ajustado'!$L$63,0)</f>
        <v>0</v>
      </c>
      <c r="T70" s="427">
        <f>IFERROR('07a_ATC'!T70*'07c_ATC_Ajustado'!$L$63,0)</f>
        <v>0</v>
      </c>
      <c r="U70" s="427">
        <f>IFERROR('07a_ATC'!U70*'07c_ATC_Ajustado'!$L$63,0)</f>
        <v>0</v>
      </c>
      <c r="V70" s="427">
        <f>IFERROR('07a_ATC'!V70*'07c_ATC_Ajustado'!$L$63,0)</f>
        <v>0</v>
      </c>
      <c r="W70" s="427">
        <f>IFERROR('07a_ATC'!W70*'07c_ATC_Ajustado'!$L$63,0)</f>
        <v>4050.4387026061781</v>
      </c>
      <c r="X70" s="427">
        <f>IFERROR('07a_ATC'!X70*'07c_ATC_Ajustado'!$L$63,0)</f>
        <v>4050.4387026061781</v>
      </c>
      <c r="Y70" s="427">
        <f>IFERROR('07a_ATC'!Y70*'07c_ATC_Ajustado'!$L$63,0)</f>
        <v>4050.4387026061781</v>
      </c>
      <c r="Z70" s="427">
        <f>IFERROR('07a_ATC'!Z70*'07c_ATC_Ajustado'!$L$63,0)</f>
        <v>4050.4387026061781</v>
      </c>
      <c r="AA70" s="427">
        <f>IFERROR('07a_ATC'!AA70*'07c_ATC_Ajustado'!$L$63,0)</f>
        <v>4050.4387026061781</v>
      </c>
      <c r="AB70" s="427">
        <f>IFERROR('07a_ATC'!AB70*'07c_ATC_Ajustado'!$L$63,0)</f>
        <v>4050.4387026061781</v>
      </c>
      <c r="AC70" s="427">
        <f>IFERROR('07a_ATC'!AC70*'07c_ATC_Ajustado'!$L$63,0)</f>
        <v>4050.4387026061781</v>
      </c>
      <c r="AD70" s="427">
        <f>IFERROR('07a_ATC'!AD70*'07c_ATC_Ajustado'!$L$63,0)</f>
        <v>4050.4387026061781</v>
      </c>
      <c r="AE70" s="427">
        <f>IFERROR('07a_ATC'!AE70*'07c_ATC_Ajustado'!$L$63,0)</f>
        <v>4050.4387026061781</v>
      </c>
      <c r="AF70" s="427">
        <f>IFERROR('07a_ATC'!AF70*'07c_ATC_Ajustado'!$L$63,0)</f>
        <v>4050.4387026061781</v>
      </c>
      <c r="AG70" s="427">
        <f>IFERROR('07a_ATC'!AG70*'07c_ATC_Ajustado'!$L$63,0)</f>
        <v>4050.4387026061781</v>
      </c>
      <c r="AH70" s="427">
        <f>IFERROR('07a_ATC'!AH70*'07c_ATC_Ajustado'!$L$63,0)</f>
        <v>4050.4387026061781</v>
      </c>
      <c r="AI70" s="427">
        <f>IFERROR('07a_ATC'!AI70*'07c_ATC_Ajustado'!$L$63,0)</f>
        <v>4050.4387026061781</v>
      </c>
      <c r="AJ70" s="427">
        <f>IFERROR('07a_ATC'!AJ70*'07c_ATC_Ajustado'!$L$63,0)</f>
        <v>4050.4387026061781</v>
      </c>
      <c r="AK70" s="427">
        <f>IFERROR('07a_ATC'!AK70*'07c_ATC_Ajustado'!$L$63,0)</f>
        <v>4050.4387026061781</v>
      </c>
      <c r="AL70" s="427">
        <f>IFERROR('07a_ATC'!AL70*'07c_ATC_Ajustado'!$L$63,0)</f>
        <v>4050.4387026061781</v>
      </c>
      <c r="AM70" s="427">
        <f>IFERROR('07a_ATC'!AM70*'07c_ATC_Ajustado'!$L$63,0)</f>
        <v>4050.4387026061781</v>
      </c>
      <c r="AN70" s="427">
        <f>IFERROR('07a_ATC'!AN70*'07c_ATC_Ajustado'!$L$63,0)</f>
        <v>4050.4387026061781</v>
      </c>
      <c r="AO70" s="427">
        <f>IFERROR('07a_ATC'!AO70*'07c_ATC_Ajustado'!$L$63,0)</f>
        <v>4050.4387026061781</v>
      </c>
      <c r="AP70" s="427">
        <f>IFERROR('07a_ATC'!AP70*'07c_ATC_Ajustado'!$L$63,0)</f>
        <v>4050.4387026061781</v>
      </c>
      <c r="AQ70" s="427">
        <f>IFERROR('07a_ATC'!AQ70*'07c_ATC_Ajustado'!$L$63,0)</f>
        <v>4050.4387026061781</v>
      </c>
      <c r="AR70" s="427">
        <f>IFERROR('07a_ATC'!AR70*'07c_ATC_Ajustado'!$L$63,0)</f>
        <v>4050.4387026061781</v>
      </c>
      <c r="AS70" s="427">
        <f>IFERROR('07a_ATC'!AS70*'07c_ATC_Ajustado'!$L$63,0)</f>
        <v>4050.4387026061781</v>
      </c>
      <c r="AT70" s="427">
        <f>IFERROR('07a_ATC'!AT70*'07c_ATC_Ajustado'!$L$63,0)</f>
        <v>4050.4387026061781</v>
      </c>
      <c r="AU70" s="427">
        <f>IFERROR('07a_ATC'!AU70*'07c_ATC_Ajustado'!$L$63,0)</f>
        <v>4050.4387026061781</v>
      </c>
      <c r="AV70" s="427">
        <f>IFERROR('07a_ATC'!AV70*'07c_ATC_Ajustado'!$L$63,0)</f>
        <v>4050.4387026061781</v>
      </c>
      <c r="AW70" s="427">
        <f>IFERROR('07a_ATC'!AW70*'07c_ATC_Ajustado'!$L$63,0)</f>
        <v>4050.4387026061781</v>
      </c>
      <c r="AX70" s="427">
        <f>IFERROR('07a_ATC'!AX70*'07c_ATC_Ajustado'!$L$63,0)</f>
        <v>0</v>
      </c>
      <c r="AY70" s="427">
        <f>IFERROR('07a_ATC'!AY70*'07c_ATC_Ajustado'!$L$63,0)</f>
        <v>0</v>
      </c>
      <c r="AZ70" s="427">
        <f>IFERROR('07a_ATC'!AZ70*'07c_ATC_Ajustado'!$L$63,0)</f>
        <v>0</v>
      </c>
      <c r="BA70" s="427">
        <f>IFERROR('07a_ATC'!BA70*'07c_ATC_Ajustado'!$L$63,0)</f>
        <v>0</v>
      </c>
      <c r="BB70" s="427">
        <f>IFERROR('07a_ATC'!BB70*'07c_ATC_Ajustado'!$L$63,0)</f>
        <v>0</v>
      </c>
      <c r="BC70" s="427">
        <f>IFERROR('07a_ATC'!BC70*'07c_ATC_Ajustado'!$L$63,0)</f>
        <v>0</v>
      </c>
      <c r="BD70" s="427">
        <f>IFERROR('07a_ATC'!BD70*'07c_ATC_Ajustado'!$L$63,0)</f>
        <v>0</v>
      </c>
      <c r="BE70" s="427">
        <f>IFERROR('07a_ATC'!BE70*'07c_ATC_Ajustado'!$L$63,0)</f>
        <v>0</v>
      </c>
      <c r="BF70" s="427">
        <f>IFERROR('07a_ATC'!BF70*'07c_ATC_Ajustado'!$L$63,0)</f>
        <v>0</v>
      </c>
    </row>
    <row r="71" spans="1:58">
      <c r="A71" s="450"/>
      <c r="B71" s="424"/>
      <c r="C71" s="424"/>
      <c r="D71" s="424"/>
      <c r="E71" s="424"/>
      <c r="F71" s="424"/>
      <c r="G71" s="424"/>
      <c r="H71" s="462"/>
      <c r="I71" s="424"/>
      <c r="J71" s="424"/>
      <c r="K71" s="459"/>
      <c r="L71" s="470" t="s">
        <v>697</v>
      </c>
      <c r="M71" s="470">
        <f t="shared" si="23"/>
        <v>8100.8774052123563</v>
      </c>
      <c r="N71" s="472">
        <f>IFERROR('07a_ATC'!N71*'07c_ATC_Ajustado'!$L$63,0)</f>
        <v>0</v>
      </c>
      <c r="O71" s="472">
        <f>IFERROR('07a_ATC'!O71*'07c_ATC_Ajustado'!$L$63,0)</f>
        <v>0</v>
      </c>
      <c r="P71" s="472">
        <f>IFERROR('07a_ATC'!P71*'07c_ATC_Ajustado'!$L$63,0)</f>
        <v>0</v>
      </c>
      <c r="Q71" s="472">
        <f>IFERROR('07a_ATC'!Q71*'07c_ATC_Ajustado'!$L$63,0)</f>
        <v>0</v>
      </c>
      <c r="R71" s="472">
        <f>IFERROR('07a_ATC'!R71*'07c_ATC_Ajustado'!$L$63,0)</f>
        <v>4050.4387026061781</v>
      </c>
      <c r="S71" s="472">
        <f>IFERROR('07a_ATC'!S71*'07c_ATC_Ajustado'!$L$63,0)</f>
        <v>0</v>
      </c>
      <c r="T71" s="472">
        <f>IFERROR('07a_ATC'!T71*'07c_ATC_Ajustado'!$L$63,0)</f>
        <v>0</v>
      </c>
      <c r="U71" s="472">
        <f>IFERROR('07a_ATC'!U71*'07c_ATC_Ajustado'!$L$63,0)</f>
        <v>0</v>
      </c>
      <c r="V71" s="472">
        <f>IFERROR('07a_ATC'!V71*'07c_ATC_Ajustado'!$L$63,0)</f>
        <v>0</v>
      </c>
      <c r="W71" s="472">
        <f>IFERROR('07a_ATC'!W71*'07c_ATC_Ajustado'!$L$63,0)</f>
        <v>0</v>
      </c>
      <c r="X71" s="472">
        <f>IFERROR('07a_ATC'!X71*'07c_ATC_Ajustado'!$L$63,0)</f>
        <v>0</v>
      </c>
      <c r="Y71" s="472">
        <f>IFERROR('07a_ATC'!Y71*'07c_ATC_Ajustado'!$L$63,0)</f>
        <v>0</v>
      </c>
      <c r="Z71" s="472">
        <f>IFERROR('07a_ATC'!Z71*'07c_ATC_Ajustado'!$L$63,0)</f>
        <v>0</v>
      </c>
      <c r="AA71" s="472">
        <f>IFERROR('07a_ATC'!AA71*'07c_ATC_Ajustado'!$L$63,0)</f>
        <v>0</v>
      </c>
      <c r="AB71" s="472">
        <f>IFERROR('07a_ATC'!AB71*'07c_ATC_Ajustado'!$L$63,0)</f>
        <v>0</v>
      </c>
      <c r="AC71" s="472">
        <f>IFERROR('07a_ATC'!AC71*'07c_ATC_Ajustado'!$L$63,0)</f>
        <v>0</v>
      </c>
      <c r="AD71" s="472">
        <f>IFERROR('07a_ATC'!AD71*'07c_ATC_Ajustado'!$L$63,0)</f>
        <v>0</v>
      </c>
      <c r="AE71" s="472">
        <f>IFERROR('07a_ATC'!AE71*'07c_ATC_Ajustado'!$L$63,0)</f>
        <v>0</v>
      </c>
      <c r="AF71" s="472">
        <f>IFERROR('07a_ATC'!AF71*'07c_ATC_Ajustado'!$L$63,0)</f>
        <v>0</v>
      </c>
      <c r="AG71" s="472">
        <f>IFERROR('07a_ATC'!AG71*'07c_ATC_Ajustado'!$L$63,0)</f>
        <v>0</v>
      </c>
      <c r="AH71" s="472">
        <f>IFERROR('07a_ATC'!AH71*'07c_ATC_Ajustado'!$L$63,0)</f>
        <v>0</v>
      </c>
      <c r="AI71" s="472">
        <f>IFERROR('07a_ATC'!AI71*'07c_ATC_Ajustado'!$L$63,0)</f>
        <v>0</v>
      </c>
      <c r="AJ71" s="472">
        <f>IFERROR('07a_ATC'!AJ71*'07c_ATC_Ajustado'!$L$63,0)</f>
        <v>0</v>
      </c>
      <c r="AK71" s="472">
        <f>IFERROR('07a_ATC'!AK71*'07c_ATC_Ajustado'!$L$63,0)</f>
        <v>0</v>
      </c>
      <c r="AL71" s="472">
        <f>IFERROR('07a_ATC'!AL71*'07c_ATC_Ajustado'!$L$63,0)</f>
        <v>0</v>
      </c>
      <c r="AM71" s="472">
        <f>IFERROR('07a_ATC'!AM71*'07c_ATC_Ajustado'!$L$63,0)</f>
        <v>0</v>
      </c>
      <c r="AN71" s="472">
        <f>IFERROR('07a_ATC'!AN71*'07c_ATC_Ajustado'!$L$63,0)</f>
        <v>0</v>
      </c>
      <c r="AO71" s="472">
        <f>IFERROR('07a_ATC'!AO71*'07c_ATC_Ajustado'!$L$63,0)</f>
        <v>0</v>
      </c>
      <c r="AP71" s="472">
        <f>IFERROR('07a_ATC'!AP71*'07c_ATC_Ajustado'!$L$63,0)</f>
        <v>0</v>
      </c>
      <c r="AQ71" s="472">
        <f>IFERROR('07a_ATC'!AQ71*'07c_ATC_Ajustado'!$L$63,0)</f>
        <v>0</v>
      </c>
      <c r="AR71" s="472">
        <f>IFERROR('07a_ATC'!AR71*'07c_ATC_Ajustado'!$L$63,0)</f>
        <v>0</v>
      </c>
      <c r="AS71" s="472">
        <f>IFERROR('07a_ATC'!AS71*'07c_ATC_Ajustado'!$L$63,0)</f>
        <v>0</v>
      </c>
      <c r="AT71" s="472">
        <f>IFERROR('07a_ATC'!AT71*'07c_ATC_Ajustado'!$L$63,0)</f>
        <v>0</v>
      </c>
      <c r="AU71" s="472">
        <f>IFERROR('07a_ATC'!AU71*'07c_ATC_Ajustado'!$L$63,0)</f>
        <v>0</v>
      </c>
      <c r="AV71" s="472">
        <f>IFERROR('07a_ATC'!AV71*'07c_ATC_Ajustado'!$L$63,0)</f>
        <v>0</v>
      </c>
      <c r="AW71" s="472">
        <f>IFERROR('07a_ATC'!AW71*'07c_ATC_Ajustado'!$L$63,0)</f>
        <v>0</v>
      </c>
      <c r="AX71" s="472">
        <f>IFERROR('07a_ATC'!AX71*'07c_ATC_Ajustado'!$L$63,0)</f>
        <v>4050.4387026061781</v>
      </c>
      <c r="AY71" s="472">
        <f>IFERROR('07a_ATC'!AY71*'07c_ATC_Ajustado'!$L$63,0)</f>
        <v>0</v>
      </c>
      <c r="AZ71" s="472">
        <f>IFERROR('07a_ATC'!AZ71*'07c_ATC_Ajustado'!$L$63,0)</f>
        <v>0</v>
      </c>
      <c r="BA71" s="472">
        <f>IFERROR('07a_ATC'!BA71*'07c_ATC_Ajustado'!$L$63,0)</f>
        <v>0</v>
      </c>
      <c r="BB71" s="472">
        <f>IFERROR('07a_ATC'!BB71*'07c_ATC_Ajustado'!$L$63,0)</f>
        <v>0</v>
      </c>
      <c r="BC71" s="472">
        <f>IFERROR('07a_ATC'!BC71*'07c_ATC_Ajustado'!$L$63,0)</f>
        <v>0</v>
      </c>
      <c r="BD71" s="472">
        <f>IFERROR('07a_ATC'!BD71*'07c_ATC_Ajustado'!$L$63,0)</f>
        <v>0</v>
      </c>
      <c r="BE71" s="472">
        <f>IFERROR('07a_ATC'!BE71*'07c_ATC_Ajustado'!$L$63,0)</f>
        <v>0</v>
      </c>
      <c r="BF71" s="472">
        <f>IFERROR('07a_ATC'!BF71*'07c_ATC_Ajustado'!$L$63,0)</f>
        <v>0</v>
      </c>
    </row>
    <row r="72" spans="1:58" s="456" customFormat="1" ht="15.6">
      <c r="A72" s="450">
        <v>8</v>
      </c>
      <c r="B72" s="452">
        <f>SUMIF('04a_PROPUESTA_MO'!$R$9:$R$42,'07c_ATC_Ajustado'!A72,'04a_PROPUESTA_MO'!$T$9:$T$42)</f>
        <v>14752.6990159</v>
      </c>
      <c r="C72" s="452">
        <f>SUMIF('04a_PROPUESTA_MO'!$R$9:$R$42,'07c_ATC_Ajustado'!A72,'04a_PROPUESTA_MO'!$AH$9:$AH$42)</f>
        <v>2656.3461894238176</v>
      </c>
      <c r="D72" s="452">
        <f>SUMIF('04a_PROPUESTA_MO'!$R$9:$R$42,'07c_ATC_Ajustado'!A72,'04a_PROPUESTA_MO'!$AI$9:$AI$42)</f>
        <v>7315.9371761083858</v>
      </c>
      <c r="E72" s="452">
        <f>SUMIF('04a_PROPUESTA_MO'!$R$9:$R$42,'07c_ATC_Ajustado'!A72,'04a_PROPUESTA_MO'!$AJ$9:$AJ$42)</f>
        <v>0</v>
      </c>
      <c r="F72" s="452">
        <f t="shared" si="4"/>
        <v>9972.2833655322029</v>
      </c>
      <c r="G72" s="452">
        <f t="shared" si="5"/>
        <v>4780.4156503677968</v>
      </c>
      <c r="H72" s="453">
        <f>G72/$G$7</f>
        <v>8.2889932207476161E-2</v>
      </c>
      <c r="I72" s="452">
        <f t="shared" si="6"/>
        <v>1355.267661338411</v>
      </c>
      <c r="J72" s="452">
        <f>SUMIF('04a_PROPUESTA_MO'!$R$9:$R$42,'07c_ATC_Ajustado'!A72,'04a_PROPUESTA_MO'!$AN$9:$AN$42)</f>
        <v>3425.1479890293858</v>
      </c>
      <c r="K72" s="454">
        <f t="shared" si="7"/>
        <v>7.7936300634309244E-2</v>
      </c>
      <c r="L72" s="460">
        <f>1+'07b_ATC_Ajuste'!$E$12</f>
        <v>1.0871120951815134</v>
      </c>
      <c r="M72" s="461">
        <f>SUM(M73:M79)</f>
        <v>121620.35038592429</v>
      </c>
      <c r="N72" s="461">
        <f t="shared" ref="N72:BF72" si="24">SUM(N73:N79)</f>
        <v>3425.1532071674424</v>
      </c>
      <c r="O72" s="461">
        <f t="shared" si="24"/>
        <v>3810.0235022245533</v>
      </c>
      <c r="P72" s="461">
        <f t="shared" si="24"/>
        <v>3810.0235022245533</v>
      </c>
      <c r="Q72" s="461">
        <f t="shared" si="24"/>
        <v>3810.0235022245533</v>
      </c>
      <c r="R72" s="461">
        <f t="shared" si="24"/>
        <v>0</v>
      </c>
      <c r="S72" s="461">
        <f t="shared" si="24"/>
        <v>3444.0363442607454</v>
      </c>
      <c r="T72" s="461">
        <f t="shared" si="24"/>
        <v>3444.0363442607454</v>
      </c>
      <c r="U72" s="461">
        <f t="shared" si="24"/>
        <v>3444.0363442607454</v>
      </c>
      <c r="V72" s="461">
        <f t="shared" si="24"/>
        <v>3444.0363442607454</v>
      </c>
      <c r="W72" s="461">
        <f t="shared" si="24"/>
        <v>3444.0363442607454</v>
      </c>
      <c r="X72" s="461">
        <f t="shared" si="24"/>
        <v>3444.0363442607454</v>
      </c>
      <c r="Y72" s="461">
        <f t="shared" si="24"/>
        <v>3444.0363442607454</v>
      </c>
      <c r="Z72" s="461">
        <f t="shared" si="24"/>
        <v>3444.0363442607454</v>
      </c>
      <c r="AA72" s="461">
        <f t="shared" si="24"/>
        <v>3444.0363442607454</v>
      </c>
      <c r="AB72" s="461">
        <f t="shared" si="24"/>
        <v>3444.0363442607454</v>
      </c>
      <c r="AC72" s="461">
        <f t="shared" si="24"/>
        <v>3444.0363442607454</v>
      </c>
      <c r="AD72" s="461">
        <f t="shared" si="24"/>
        <v>3444.0363442607454</v>
      </c>
      <c r="AE72" s="461">
        <f t="shared" si="24"/>
        <v>3444.0363442607454</v>
      </c>
      <c r="AF72" s="461">
        <f t="shared" si="24"/>
        <v>3444.0363442607454</v>
      </c>
      <c r="AG72" s="461">
        <f t="shared" si="24"/>
        <v>3444.0363442607454</v>
      </c>
      <c r="AH72" s="461">
        <f t="shared" si="24"/>
        <v>3444.0363442607454</v>
      </c>
      <c r="AI72" s="461">
        <f t="shared" si="24"/>
        <v>3444.0363442607454</v>
      </c>
      <c r="AJ72" s="461">
        <f t="shared" si="24"/>
        <v>3444.0363442607454</v>
      </c>
      <c r="AK72" s="461">
        <f t="shared" si="24"/>
        <v>3444.0363442607454</v>
      </c>
      <c r="AL72" s="461">
        <f t="shared" si="24"/>
        <v>3444.0363442607454</v>
      </c>
      <c r="AM72" s="461">
        <f t="shared" si="24"/>
        <v>3444.0363442607454</v>
      </c>
      <c r="AN72" s="461">
        <f t="shared" si="24"/>
        <v>3444.0363442607454</v>
      </c>
      <c r="AO72" s="461">
        <f t="shared" si="24"/>
        <v>3444.0363442607454</v>
      </c>
      <c r="AP72" s="461">
        <f t="shared" si="24"/>
        <v>3444.0363442607454</v>
      </c>
      <c r="AQ72" s="461">
        <f t="shared" si="24"/>
        <v>3444.0363442607454</v>
      </c>
      <c r="AR72" s="461">
        <f t="shared" si="24"/>
        <v>3444.0363442607454</v>
      </c>
      <c r="AS72" s="461">
        <f t="shared" si="24"/>
        <v>3444.0363442607454</v>
      </c>
      <c r="AT72" s="461">
        <f t="shared" si="24"/>
        <v>3444.0363442607454</v>
      </c>
      <c r="AU72" s="461">
        <f t="shared" si="24"/>
        <v>3444.0363442607454</v>
      </c>
      <c r="AV72" s="461">
        <f t="shared" si="24"/>
        <v>3444.0363442607454</v>
      </c>
      <c r="AW72" s="461">
        <f t="shared" si="24"/>
        <v>3444.0363442607454</v>
      </c>
      <c r="AX72" s="461">
        <f t="shared" si="24"/>
        <v>0</v>
      </c>
      <c r="AY72" s="461">
        <f t="shared" si="24"/>
        <v>0</v>
      </c>
      <c r="AZ72" s="461">
        <f t="shared" si="24"/>
        <v>0</v>
      </c>
      <c r="BA72" s="461">
        <f t="shared" si="24"/>
        <v>0</v>
      </c>
      <c r="BB72" s="461">
        <f t="shared" si="24"/>
        <v>0</v>
      </c>
      <c r="BC72" s="461">
        <f t="shared" si="24"/>
        <v>0</v>
      </c>
      <c r="BD72" s="461">
        <f t="shared" si="24"/>
        <v>0</v>
      </c>
      <c r="BE72" s="461">
        <f t="shared" si="24"/>
        <v>0</v>
      </c>
      <c r="BF72" s="461">
        <f t="shared" si="24"/>
        <v>0</v>
      </c>
    </row>
    <row r="73" spans="1:58">
      <c r="L73" s="463" t="str">
        <f>'00_Datos_Mercado'!$B$3</f>
        <v xml:space="preserve">a_CS - Creativos </v>
      </c>
      <c r="M73" s="429">
        <f t="shared" ref="M73:M79" si="25">SUM(N73:BF73)</f>
        <v>0</v>
      </c>
      <c r="N73" s="427">
        <f>IFERROR('07a_ATC'!N73*'07c_ATC_Ajustado'!$L$72,0)</f>
        <v>0</v>
      </c>
      <c r="O73" s="427">
        <f>IFERROR('07a_ATC'!O73*'07c_ATC_Ajustado'!$L$72,0)</f>
        <v>0</v>
      </c>
      <c r="P73" s="427">
        <f>IFERROR('07a_ATC'!P73*'07c_ATC_Ajustado'!$L$72,0)</f>
        <v>0</v>
      </c>
      <c r="Q73" s="427">
        <f>IFERROR('07a_ATC'!Q73*'07c_ATC_Ajustado'!$L$72,0)</f>
        <v>0</v>
      </c>
      <c r="R73" s="427">
        <f>IFERROR('07a_ATC'!R73*'07c_ATC_Ajustado'!$L$72,0)</f>
        <v>0</v>
      </c>
      <c r="S73" s="427">
        <f>IFERROR('07a_ATC'!S73*'07c_ATC_Ajustado'!$L$72,0)</f>
        <v>0</v>
      </c>
      <c r="T73" s="427">
        <f>IFERROR('07a_ATC'!T73*'07c_ATC_Ajustado'!$L$72,0)</f>
        <v>0</v>
      </c>
      <c r="U73" s="427">
        <f>IFERROR('07a_ATC'!U73*'07c_ATC_Ajustado'!$L$72,0)</f>
        <v>0</v>
      </c>
      <c r="V73" s="427">
        <f>IFERROR('07a_ATC'!V73*'07c_ATC_Ajustado'!$L$72,0)</f>
        <v>0</v>
      </c>
      <c r="W73" s="427">
        <f>IFERROR('07a_ATC'!W73*'07c_ATC_Ajustado'!$L$72,0)</f>
        <v>0</v>
      </c>
      <c r="X73" s="427">
        <f>IFERROR('07a_ATC'!X73*'07c_ATC_Ajustado'!$L$72,0)</f>
        <v>0</v>
      </c>
      <c r="Y73" s="427">
        <f>IFERROR('07a_ATC'!Y73*'07c_ATC_Ajustado'!$L$72,0)</f>
        <v>0</v>
      </c>
      <c r="Z73" s="427">
        <f>IFERROR('07a_ATC'!Z73*'07c_ATC_Ajustado'!$L$72,0)</f>
        <v>0</v>
      </c>
      <c r="AA73" s="427">
        <f>IFERROR('07a_ATC'!AA73*'07c_ATC_Ajustado'!$L$72,0)</f>
        <v>0</v>
      </c>
      <c r="AB73" s="427">
        <f>IFERROR('07a_ATC'!AB73*'07c_ATC_Ajustado'!$L$72,0)</f>
        <v>0</v>
      </c>
      <c r="AC73" s="427">
        <f>IFERROR('07a_ATC'!AC73*'07c_ATC_Ajustado'!$L$72,0)</f>
        <v>0</v>
      </c>
      <c r="AD73" s="427">
        <f>IFERROR('07a_ATC'!AD73*'07c_ATC_Ajustado'!$L$72,0)</f>
        <v>0</v>
      </c>
      <c r="AE73" s="427">
        <f>IFERROR('07a_ATC'!AE73*'07c_ATC_Ajustado'!$L$72,0)</f>
        <v>0</v>
      </c>
      <c r="AF73" s="427">
        <f>IFERROR('07a_ATC'!AF73*'07c_ATC_Ajustado'!$L$72,0)</f>
        <v>0</v>
      </c>
      <c r="AG73" s="427">
        <f>IFERROR('07a_ATC'!AG73*'07c_ATC_Ajustado'!$L$72,0)</f>
        <v>0</v>
      </c>
      <c r="AH73" s="427">
        <f>IFERROR('07a_ATC'!AH73*'07c_ATC_Ajustado'!$L$72,0)</f>
        <v>0</v>
      </c>
      <c r="AI73" s="427">
        <f>IFERROR('07a_ATC'!AI73*'07c_ATC_Ajustado'!$L$72,0)</f>
        <v>0</v>
      </c>
      <c r="AJ73" s="427">
        <f>IFERROR('07a_ATC'!AJ73*'07c_ATC_Ajustado'!$L$72,0)</f>
        <v>0</v>
      </c>
      <c r="AK73" s="427">
        <f>IFERROR('07a_ATC'!AK73*'07c_ATC_Ajustado'!$L$72,0)</f>
        <v>0</v>
      </c>
      <c r="AL73" s="427">
        <f>IFERROR('07a_ATC'!AL73*'07c_ATC_Ajustado'!$L$72,0)</f>
        <v>0</v>
      </c>
      <c r="AM73" s="427">
        <f>IFERROR('07a_ATC'!AM73*'07c_ATC_Ajustado'!$L$72,0)</f>
        <v>0</v>
      </c>
      <c r="AN73" s="427">
        <f>IFERROR('07a_ATC'!AN73*'07c_ATC_Ajustado'!$L$72,0)</f>
        <v>0</v>
      </c>
      <c r="AO73" s="427">
        <f>IFERROR('07a_ATC'!AO73*'07c_ATC_Ajustado'!$L$72,0)</f>
        <v>0</v>
      </c>
      <c r="AP73" s="427">
        <f>IFERROR('07a_ATC'!AP73*'07c_ATC_Ajustado'!$L$72,0)</f>
        <v>0</v>
      </c>
      <c r="AQ73" s="427">
        <f>IFERROR('07a_ATC'!AQ73*'07c_ATC_Ajustado'!$L$72,0)</f>
        <v>0</v>
      </c>
      <c r="AR73" s="427">
        <f>IFERROR('07a_ATC'!AR73*'07c_ATC_Ajustado'!$L$72,0)</f>
        <v>0</v>
      </c>
      <c r="AS73" s="427">
        <f>IFERROR('07a_ATC'!AS73*'07c_ATC_Ajustado'!$L$72,0)</f>
        <v>0</v>
      </c>
      <c r="AT73" s="427">
        <f>IFERROR('07a_ATC'!AT73*'07c_ATC_Ajustado'!$L$72,0)</f>
        <v>0</v>
      </c>
      <c r="AU73" s="427">
        <f>IFERROR('07a_ATC'!AU73*'07c_ATC_Ajustado'!$L$72,0)</f>
        <v>0</v>
      </c>
      <c r="AV73" s="427">
        <f>IFERROR('07a_ATC'!AV73*'07c_ATC_Ajustado'!$L$72,0)</f>
        <v>0</v>
      </c>
      <c r="AW73" s="427">
        <f>IFERROR('07a_ATC'!AW73*'07c_ATC_Ajustado'!$L$72,0)</f>
        <v>0</v>
      </c>
      <c r="AX73" s="427">
        <f>IFERROR('07a_ATC'!AX73*'07c_ATC_Ajustado'!$L$72,0)</f>
        <v>0</v>
      </c>
      <c r="AY73" s="427">
        <f>IFERROR('07a_ATC'!AY73*'07c_ATC_Ajustado'!$L$72,0)</f>
        <v>0</v>
      </c>
      <c r="AZ73" s="427">
        <f>IFERROR('07a_ATC'!AZ73*'07c_ATC_Ajustado'!$L$72,0)</f>
        <v>0</v>
      </c>
      <c r="BA73" s="427">
        <f>IFERROR('07a_ATC'!BA73*'07c_ATC_Ajustado'!$L$72,0)</f>
        <v>0</v>
      </c>
      <c r="BB73" s="427">
        <f>IFERROR('07a_ATC'!BB73*'07c_ATC_Ajustado'!$L$72,0)</f>
        <v>0</v>
      </c>
      <c r="BC73" s="427">
        <f>IFERROR('07a_ATC'!BC73*'07c_ATC_Ajustado'!$L$72,0)</f>
        <v>0</v>
      </c>
      <c r="BD73" s="427">
        <f>IFERROR('07a_ATC'!BD73*'07c_ATC_Ajustado'!$L$72,0)</f>
        <v>0</v>
      </c>
      <c r="BE73" s="427">
        <f>IFERROR('07a_ATC'!BE73*'07c_ATC_Ajustado'!$L$72,0)</f>
        <v>0</v>
      </c>
      <c r="BF73" s="427">
        <f>IFERROR('07a_ATC'!BF73*'07c_ATC_Ajustado'!$L$72,0)</f>
        <v>0</v>
      </c>
    </row>
    <row r="74" spans="1:58">
      <c r="F74" s="475"/>
      <c r="L74" s="464" t="str">
        <f>'00_Datos_Mercado'!$B$4</f>
        <v>b_CS - General (Comercio + Oficinas + Hospedaje)</v>
      </c>
      <c r="M74" s="429">
        <f t="shared" si="25"/>
        <v>0</v>
      </c>
      <c r="N74" s="427">
        <f>IFERROR('07a_ATC'!N74*'07c_ATC_Ajustado'!$L$72,0)</f>
        <v>0</v>
      </c>
      <c r="O74" s="427">
        <f>IFERROR('07a_ATC'!O74*'07c_ATC_Ajustado'!$L$72,0)</f>
        <v>0</v>
      </c>
      <c r="P74" s="427">
        <f>IFERROR('07a_ATC'!P74*'07c_ATC_Ajustado'!$L$72,0)</f>
        <v>0</v>
      </c>
      <c r="Q74" s="427">
        <f>IFERROR('07a_ATC'!Q74*'07c_ATC_Ajustado'!$L$72,0)</f>
        <v>0</v>
      </c>
      <c r="R74" s="427">
        <f>IFERROR('07a_ATC'!R74*'07c_ATC_Ajustado'!$L$72,0)</f>
        <v>0</v>
      </c>
      <c r="S74" s="427">
        <f>IFERROR('07a_ATC'!S74*'07c_ATC_Ajustado'!$L$72,0)</f>
        <v>0</v>
      </c>
      <c r="T74" s="427">
        <f>IFERROR('07a_ATC'!T74*'07c_ATC_Ajustado'!$L$72,0)</f>
        <v>0</v>
      </c>
      <c r="U74" s="427">
        <f>IFERROR('07a_ATC'!U74*'07c_ATC_Ajustado'!$L$72,0)</f>
        <v>0</v>
      </c>
      <c r="V74" s="427">
        <f>IFERROR('07a_ATC'!V74*'07c_ATC_Ajustado'!$L$72,0)</f>
        <v>0</v>
      </c>
      <c r="W74" s="427">
        <f>IFERROR('07a_ATC'!W74*'07c_ATC_Ajustado'!$L$72,0)</f>
        <v>0</v>
      </c>
      <c r="X74" s="427">
        <f>IFERROR('07a_ATC'!X74*'07c_ATC_Ajustado'!$L$72,0)</f>
        <v>0</v>
      </c>
      <c r="Y74" s="427">
        <f>IFERROR('07a_ATC'!Y74*'07c_ATC_Ajustado'!$L$72,0)</f>
        <v>0</v>
      </c>
      <c r="Z74" s="427">
        <f>IFERROR('07a_ATC'!Z74*'07c_ATC_Ajustado'!$L$72,0)</f>
        <v>0</v>
      </c>
      <c r="AA74" s="427">
        <f>IFERROR('07a_ATC'!AA74*'07c_ATC_Ajustado'!$L$72,0)</f>
        <v>0</v>
      </c>
      <c r="AB74" s="427">
        <f>IFERROR('07a_ATC'!AB74*'07c_ATC_Ajustado'!$L$72,0)</f>
        <v>0</v>
      </c>
      <c r="AC74" s="427">
        <f>IFERROR('07a_ATC'!AC74*'07c_ATC_Ajustado'!$L$72,0)</f>
        <v>0</v>
      </c>
      <c r="AD74" s="427">
        <f>IFERROR('07a_ATC'!AD74*'07c_ATC_Ajustado'!$L$72,0)</f>
        <v>0</v>
      </c>
      <c r="AE74" s="427">
        <f>IFERROR('07a_ATC'!AE74*'07c_ATC_Ajustado'!$L$72,0)</f>
        <v>0</v>
      </c>
      <c r="AF74" s="427">
        <f>IFERROR('07a_ATC'!AF74*'07c_ATC_Ajustado'!$L$72,0)</f>
        <v>0</v>
      </c>
      <c r="AG74" s="427">
        <f>IFERROR('07a_ATC'!AG74*'07c_ATC_Ajustado'!$L$72,0)</f>
        <v>0</v>
      </c>
      <c r="AH74" s="427">
        <f>IFERROR('07a_ATC'!AH74*'07c_ATC_Ajustado'!$L$72,0)</f>
        <v>0</v>
      </c>
      <c r="AI74" s="427">
        <f>IFERROR('07a_ATC'!AI74*'07c_ATC_Ajustado'!$L$72,0)</f>
        <v>0</v>
      </c>
      <c r="AJ74" s="427">
        <f>IFERROR('07a_ATC'!AJ74*'07c_ATC_Ajustado'!$L$72,0)</f>
        <v>0</v>
      </c>
      <c r="AK74" s="427">
        <f>IFERROR('07a_ATC'!AK74*'07c_ATC_Ajustado'!$L$72,0)</f>
        <v>0</v>
      </c>
      <c r="AL74" s="427">
        <f>IFERROR('07a_ATC'!AL74*'07c_ATC_Ajustado'!$L$72,0)</f>
        <v>0</v>
      </c>
      <c r="AM74" s="427">
        <f>IFERROR('07a_ATC'!AM74*'07c_ATC_Ajustado'!$L$72,0)</f>
        <v>0</v>
      </c>
      <c r="AN74" s="427">
        <f>IFERROR('07a_ATC'!AN74*'07c_ATC_Ajustado'!$L$72,0)</f>
        <v>0</v>
      </c>
      <c r="AO74" s="427">
        <f>IFERROR('07a_ATC'!AO74*'07c_ATC_Ajustado'!$L$72,0)</f>
        <v>0</v>
      </c>
      <c r="AP74" s="427">
        <f>IFERROR('07a_ATC'!AP74*'07c_ATC_Ajustado'!$L$72,0)</f>
        <v>0</v>
      </c>
      <c r="AQ74" s="427">
        <f>IFERROR('07a_ATC'!AQ74*'07c_ATC_Ajustado'!$L$72,0)</f>
        <v>0</v>
      </c>
      <c r="AR74" s="427">
        <f>IFERROR('07a_ATC'!AR74*'07c_ATC_Ajustado'!$L$72,0)</f>
        <v>0</v>
      </c>
      <c r="AS74" s="427">
        <f>IFERROR('07a_ATC'!AS74*'07c_ATC_Ajustado'!$L$72,0)</f>
        <v>0</v>
      </c>
      <c r="AT74" s="427">
        <f>IFERROR('07a_ATC'!AT74*'07c_ATC_Ajustado'!$L$72,0)</f>
        <v>0</v>
      </c>
      <c r="AU74" s="427">
        <f>IFERROR('07a_ATC'!AU74*'07c_ATC_Ajustado'!$L$72,0)</f>
        <v>0</v>
      </c>
      <c r="AV74" s="427">
        <f>IFERROR('07a_ATC'!AV74*'07c_ATC_Ajustado'!$L$72,0)</f>
        <v>0</v>
      </c>
      <c r="AW74" s="427">
        <f>IFERROR('07a_ATC'!AW74*'07c_ATC_Ajustado'!$L$72,0)</f>
        <v>0</v>
      </c>
      <c r="AX74" s="427">
        <f>IFERROR('07a_ATC'!AX74*'07c_ATC_Ajustado'!$L$72,0)</f>
        <v>0</v>
      </c>
      <c r="AY74" s="427">
        <f>IFERROR('07a_ATC'!AY74*'07c_ATC_Ajustado'!$L$72,0)</f>
        <v>0</v>
      </c>
      <c r="AZ74" s="427">
        <f>IFERROR('07a_ATC'!AZ74*'07c_ATC_Ajustado'!$L$72,0)</f>
        <v>0</v>
      </c>
      <c r="BA74" s="427">
        <f>IFERROR('07a_ATC'!BA74*'07c_ATC_Ajustado'!$L$72,0)</f>
        <v>0</v>
      </c>
      <c r="BB74" s="427">
        <f>IFERROR('07a_ATC'!BB74*'07c_ATC_Ajustado'!$L$72,0)</f>
        <v>0</v>
      </c>
      <c r="BC74" s="427">
        <f>IFERROR('07a_ATC'!BC74*'07c_ATC_Ajustado'!$L$72,0)</f>
        <v>0</v>
      </c>
      <c r="BD74" s="427">
        <f>IFERROR('07a_ATC'!BD74*'07c_ATC_Ajustado'!$L$72,0)</f>
        <v>0</v>
      </c>
      <c r="BE74" s="427">
        <f>IFERROR('07a_ATC'!BE74*'07c_ATC_Ajustado'!$L$72,0)</f>
        <v>0</v>
      </c>
      <c r="BF74" s="427">
        <f>IFERROR('07a_ATC'!BF74*'07c_ATC_Ajustado'!$L$72,0)</f>
        <v>0</v>
      </c>
    </row>
    <row r="75" spans="1:58">
      <c r="D75" s="476"/>
      <c r="L75" s="465" t="str">
        <f>'00_Datos_Mercado'!$B$5</f>
        <v>c_CS - Grandes Superficies</v>
      </c>
      <c r="M75" s="429">
        <f t="shared" si="25"/>
        <v>0</v>
      </c>
      <c r="N75" s="427">
        <f>IFERROR('07a_ATC'!N75*'07c_ATC_Ajustado'!$L$72,0)</f>
        <v>0</v>
      </c>
      <c r="O75" s="427">
        <f>IFERROR('07a_ATC'!O75*'07c_ATC_Ajustado'!$L$72,0)</f>
        <v>0</v>
      </c>
      <c r="P75" s="427">
        <f>IFERROR('07a_ATC'!P75*'07c_ATC_Ajustado'!$L$72,0)</f>
        <v>0</v>
      </c>
      <c r="Q75" s="427">
        <f>IFERROR('07a_ATC'!Q75*'07c_ATC_Ajustado'!$L$72,0)</f>
        <v>0</v>
      </c>
      <c r="R75" s="427">
        <f>IFERROR('07a_ATC'!R75*'07c_ATC_Ajustado'!$L$72,0)</f>
        <v>0</v>
      </c>
      <c r="S75" s="427">
        <f>IFERROR('07a_ATC'!S75*'07c_ATC_Ajustado'!$L$72,0)</f>
        <v>0</v>
      </c>
      <c r="T75" s="427">
        <f>IFERROR('07a_ATC'!T75*'07c_ATC_Ajustado'!$L$72,0)</f>
        <v>0</v>
      </c>
      <c r="U75" s="427">
        <f>IFERROR('07a_ATC'!U75*'07c_ATC_Ajustado'!$L$72,0)</f>
        <v>0</v>
      </c>
      <c r="V75" s="427">
        <f>IFERROR('07a_ATC'!V75*'07c_ATC_Ajustado'!$L$72,0)</f>
        <v>0</v>
      </c>
      <c r="W75" s="427">
        <f>IFERROR('07a_ATC'!W75*'07c_ATC_Ajustado'!$L$72,0)</f>
        <v>0</v>
      </c>
      <c r="X75" s="427">
        <f>IFERROR('07a_ATC'!X75*'07c_ATC_Ajustado'!$L$72,0)</f>
        <v>0</v>
      </c>
      <c r="Y75" s="427">
        <f>IFERROR('07a_ATC'!Y75*'07c_ATC_Ajustado'!$L$72,0)</f>
        <v>0</v>
      </c>
      <c r="Z75" s="427">
        <f>IFERROR('07a_ATC'!Z75*'07c_ATC_Ajustado'!$L$72,0)</f>
        <v>0</v>
      </c>
      <c r="AA75" s="427">
        <f>IFERROR('07a_ATC'!AA75*'07c_ATC_Ajustado'!$L$72,0)</f>
        <v>0</v>
      </c>
      <c r="AB75" s="427">
        <f>IFERROR('07a_ATC'!AB75*'07c_ATC_Ajustado'!$L$72,0)</f>
        <v>0</v>
      </c>
      <c r="AC75" s="427">
        <f>IFERROR('07a_ATC'!AC75*'07c_ATC_Ajustado'!$L$72,0)</f>
        <v>0</v>
      </c>
      <c r="AD75" s="427">
        <f>IFERROR('07a_ATC'!AD75*'07c_ATC_Ajustado'!$L$72,0)</f>
        <v>0</v>
      </c>
      <c r="AE75" s="427">
        <f>IFERROR('07a_ATC'!AE75*'07c_ATC_Ajustado'!$L$72,0)</f>
        <v>0</v>
      </c>
      <c r="AF75" s="427">
        <f>IFERROR('07a_ATC'!AF75*'07c_ATC_Ajustado'!$L$72,0)</f>
        <v>0</v>
      </c>
      <c r="AG75" s="427">
        <f>IFERROR('07a_ATC'!AG75*'07c_ATC_Ajustado'!$L$72,0)</f>
        <v>0</v>
      </c>
      <c r="AH75" s="427">
        <f>IFERROR('07a_ATC'!AH75*'07c_ATC_Ajustado'!$L$72,0)</f>
        <v>0</v>
      </c>
      <c r="AI75" s="427">
        <f>IFERROR('07a_ATC'!AI75*'07c_ATC_Ajustado'!$L$72,0)</f>
        <v>0</v>
      </c>
      <c r="AJ75" s="427">
        <f>IFERROR('07a_ATC'!AJ75*'07c_ATC_Ajustado'!$L$72,0)</f>
        <v>0</v>
      </c>
      <c r="AK75" s="427">
        <f>IFERROR('07a_ATC'!AK75*'07c_ATC_Ajustado'!$L$72,0)</f>
        <v>0</v>
      </c>
      <c r="AL75" s="427">
        <f>IFERROR('07a_ATC'!AL75*'07c_ATC_Ajustado'!$L$72,0)</f>
        <v>0</v>
      </c>
      <c r="AM75" s="427">
        <f>IFERROR('07a_ATC'!AM75*'07c_ATC_Ajustado'!$L$72,0)</f>
        <v>0</v>
      </c>
      <c r="AN75" s="427">
        <f>IFERROR('07a_ATC'!AN75*'07c_ATC_Ajustado'!$L$72,0)</f>
        <v>0</v>
      </c>
      <c r="AO75" s="427">
        <f>IFERROR('07a_ATC'!AO75*'07c_ATC_Ajustado'!$L$72,0)</f>
        <v>0</v>
      </c>
      <c r="AP75" s="427">
        <f>IFERROR('07a_ATC'!AP75*'07c_ATC_Ajustado'!$L$72,0)</f>
        <v>0</v>
      </c>
      <c r="AQ75" s="427">
        <f>IFERROR('07a_ATC'!AQ75*'07c_ATC_Ajustado'!$L$72,0)</f>
        <v>0</v>
      </c>
      <c r="AR75" s="427">
        <f>IFERROR('07a_ATC'!AR75*'07c_ATC_Ajustado'!$L$72,0)</f>
        <v>0</v>
      </c>
      <c r="AS75" s="427">
        <f>IFERROR('07a_ATC'!AS75*'07c_ATC_Ajustado'!$L$72,0)</f>
        <v>0</v>
      </c>
      <c r="AT75" s="427">
        <f>IFERROR('07a_ATC'!AT75*'07c_ATC_Ajustado'!$L$72,0)</f>
        <v>0</v>
      </c>
      <c r="AU75" s="427">
        <f>IFERROR('07a_ATC'!AU75*'07c_ATC_Ajustado'!$L$72,0)</f>
        <v>0</v>
      </c>
      <c r="AV75" s="427">
        <f>IFERROR('07a_ATC'!AV75*'07c_ATC_Ajustado'!$L$72,0)</f>
        <v>0</v>
      </c>
      <c r="AW75" s="427">
        <f>IFERROR('07a_ATC'!AW75*'07c_ATC_Ajustado'!$L$72,0)</f>
        <v>0</v>
      </c>
      <c r="AX75" s="427">
        <f>IFERROR('07a_ATC'!AX75*'07c_ATC_Ajustado'!$L$72,0)</f>
        <v>0</v>
      </c>
      <c r="AY75" s="427">
        <f>IFERROR('07a_ATC'!AY75*'07c_ATC_Ajustado'!$L$72,0)</f>
        <v>0</v>
      </c>
      <c r="AZ75" s="427">
        <f>IFERROR('07a_ATC'!AZ75*'07c_ATC_Ajustado'!$L$72,0)</f>
        <v>0</v>
      </c>
      <c r="BA75" s="427">
        <f>IFERROR('07a_ATC'!BA75*'07c_ATC_Ajustado'!$L$72,0)</f>
        <v>0</v>
      </c>
      <c r="BB75" s="427">
        <f>IFERROR('07a_ATC'!BB75*'07c_ATC_Ajustado'!$L$72,0)</f>
        <v>0</v>
      </c>
      <c r="BC75" s="427">
        <f>IFERROR('07a_ATC'!BC75*'07c_ATC_Ajustado'!$L$72,0)</f>
        <v>0</v>
      </c>
      <c r="BD75" s="427">
        <f>IFERROR('07a_ATC'!BD75*'07c_ATC_Ajustado'!$L$72,0)</f>
        <v>0</v>
      </c>
      <c r="BE75" s="427">
        <f>IFERROR('07a_ATC'!BE75*'07c_ATC_Ajustado'!$L$72,0)</f>
        <v>0</v>
      </c>
      <c r="BF75" s="427">
        <f>IFERROR('07a_ATC'!BF75*'07c_ATC_Ajustado'!$L$72,0)</f>
        <v>0</v>
      </c>
    </row>
    <row r="76" spans="1:58">
      <c r="L76" s="466" t="str">
        <f>'00_Datos_Mercado'!$B$6</f>
        <v>d_CS - Torre Empresarial (Oficinas + Hospedaje)</v>
      </c>
      <c r="M76" s="429">
        <f t="shared" si="25"/>
        <v>0</v>
      </c>
      <c r="N76" s="427">
        <f>IFERROR('07a_ATC'!N76*'07c_ATC_Ajustado'!$L$72,0)</f>
        <v>0</v>
      </c>
      <c r="O76" s="427">
        <f>IFERROR('07a_ATC'!O76*'07c_ATC_Ajustado'!$L$72,0)</f>
        <v>0</v>
      </c>
      <c r="P76" s="427">
        <f>IFERROR('07a_ATC'!P76*'07c_ATC_Ajustado'!$L$72,0)</f>
        <v>0</v>
      </c>
      <c r="Q76" s="427">
        <f>IFERROR('07a_ATC'!Q76*'07c_ATC_Ajustado'!$L$72,0)</f>
        <v>0</v>
      </c>
      <c r="R76" s="427">
        <f>IFERROR('07a_ATC'!R76*'07c_ATC_Ajustado'!$L$72,0)</f>
        <v>0</v>
      </c>
      <c r="S76" s="427">
        <f>IFERROR('07a_ATC'!S76*'07c_ATC_Ajustado'!$L$72,0)</f>
        <v>0</v>
      </c>
      <c r="T76" s="427">
        <f>IFERROR('07a_ATC'!T76*'07c_ATC_Ajustado'!$L$72,0)</f>
        <v>0</v>
      </c>
      <c r="U76" s="427">
        <f>IFERROR('07a_ATC'!U76*'07c_ATC_Ajustado'!$L$72,0)</f>
        <v>0</v>
      </c>
      <c r="V76" s="427">
        <f>IFERROR('07a_ATC'!V76*'07c_ATC_Ajustado'!$L$72,0)</f>
        <v>0</v>
      </c>
      <c r="W76" s="427">
        <f>IFERROR('07a_ATC'!W76*'07c_ATC_Ajustado'!$L$72,0)</f>
        <v>0</v>
      </c>
      <c r="X76" s="427">
        <f>IFERROR('07a_ATC'!X76*'07c_ATC_Ajustado'!$L$72,0)</f>
        <v>0</v>
      </c>
      <c r="Y76" s="427">
        <f>IFERROR('07a_ATC'!Y76*'07c_ATC_Ajustado'!$L$72,0)</f>
        <v>0</v>
      </c>
      <c r="Z76" s="427">
        <f>IFERROR('07a_ATC'!Z76*'07c_ATC_Ajustado'!$L$72,0)</f>
        <v>0</v>
      </c>
      <c r="AA76" s="427">
        <f>IFERROR('07a_ATC'!AA76*'07c_ATC_Ajustado'!$L$72,0)</f>
        <v>0</v>
      </c>
      <c r="AB76" s="427">
        <f>IFERROR('07a_ATC'!AB76*'07c_ATC_Ajustado'!$L$72,0)</f>
        <v>0</v>
      </c>
      <c r="AC76" s="427">
        <f>IFERROR('07a_ATC'!AC76*'07c_ATC_Ajustado'!$L$72,0)</f>
        <v>0</v>
      </c>
      <c r="AD76" s="427">
        <f>IFERROR('07a_ATC'!AD76*'07c_ATC_Ajustado'!$L$72,0)</f>
        <v>0</v>
      </c>
      <c r="AE76" s="427">
        <f>IFERROR('07a_ATC'!AE76*'07c_ATC_Ajustado'!$L$72,0)</f>
        <v>0</v>
      </c>
      <c r="AF76" s="427">
        <f>IFERROR('07a_ATC'!AF76*'07c_ATC_Ajustado'!$L$72,0)</f>
        <v>0</v>
      </c>
      <c r="AG76" s="427">
        <f>IFERROR('07a_ATC'!AG76*'07c_ATC_Ajustado'!$L$72,0)</f>
        <v>0</v>
      </c>
      <c r="AH76" s="427">
        <f>IFERROR('07a_ATC'!AH76*'07c_ATC_Ajustado'!$L$72,0)</f>
        <v>0</v>
      </c>
      <c r="AI76" s="427">
        <f>IFERROR('07a_ATC'!AI76*'07c_ATC_Ajustado'!$L$72,0)</f>
        <v>0</v>
      </c>
      <c r="AJ76" s="427">
        <f>IFERROR('07a_ATC'!AJ76*'07c_ATC_Ajustado'!$L$72,0)</f>
        <v>0</v>
      </c>
      <c r="AK76" s="427">
        <f>IFERROR('07a_ATC'!AK76*'07c_ATC_Ajustado'!$L$72,0)</f>
        <v>0</v>
      </c>
      <c r="AL76" s="427">
        <f>IFERROR('07a_ATC'!AL76*'07c_ATC_Ajustado'!$L$72,0)</f>
        <v>0</v>
      </c>
      <c r="AM76" s="427">
        <f>IFERROR('07a_ATC'!AM76*'07c_ATC_Ajustado'!$L$72,0)</f>
        <v>0</v>
      </c>
      <c r="AN76" s="427">
        <f>IFERROR('07a_ATC'!AN76*'07c_ATC_Ajustado'!$L$72,0)</f>
        <v>0</v>
      </c>
      <c r="AO76" s="427">
        <f>IFERROR('07a_ATC'!AO76*'07c_ATC_Ajustado'!$L$72,0)</f>
        <v>0</v>
      </c>
      <c r="AP76" s="427">
        <f>IFERROR('07a_ATC'!AP76*'07c_ATC_Ajustado'!$L$72,0)</f>
        <v>0</v>
      </c>
      <c r="AQ76" s="427">
        <f>IFERROR('07a_ATC'!AQ76*'07c_ATC_Ajustado'!$L$72,0)</f>
        <v>0</v>
      </c>
      <c r="AR76" s="427">
        <f>IFERROR('07a_ATC'!AR76*'07c_ATC_Ajustado'!$L$72,0)</f>
        <v>0</v>
      </c>
      <c r="AS76" s="427">
        <f>IFERROR('07a_ATC'!AS76*'07c_ATC_Ajustado'!$L$72,0)</f>
        <v>0</v>
      </c>
      <c r="AT76" s="427">
        <f>IFERROR('07a_ATC'!AT76*'07c_ATC_Ajustado'!$L$72,0)</f>
        <v>0</v>
      </c>
      <c r="AU76" s="427">
        <f>IFERROR('07a_ATC'!AU76*'07c_ATC_Ajustado'!$L$72,0)</f>
        <v>0</v>
      </c>
      <c r="AV76" s="427">
        <f>IFERROR('07a_ATC'!AV76*'07c_ATC_Ajustado'!$L$72,0)</f>
        <v>0</v>
      </c>
      <c r="AW76" s="427">
        <f>IFERROR('07a_ATC'!AW76*'07c_ATC_Ajustado'!$L$72,0)</f>
        <v>0</v>
      </c>
      <c r="AX76" s="427">
        <f>IFERROR('07a_ATC'!AX76*'07c_ATC_Ajustado'!$L$72,0)</f>
        <v>0</v>
      </c>
      <c r="AY76" s="427">
        <f>IFERROR('07a_ATC'!AY76*'07c_ATC_Ajustado'!$L$72,0)</f>
        <v>0</v>
      </c>
      <c r="AZ76" s="427">
        <f>IFERROR('07a_ATC'!AZ76*'07c_ATC_Ajustado'!$L$72,0)</f>
        <v>0</v>
      </c>
      <c r="BA76" s="427">
        <f>IFERROR('07a_ATC'!BA76*'07c_ATC_Ajustado'!$L$72,0)</f>
        <v>0</v>
      </c>
      <c r="BB76" s="427">
        <f>IFERROR('07a_ATC'!BB76*'07c_ATC_Ajustado'!$L$72,0)</f>
        <v>0</v>
      </c>
      <c r="BC76" s="427">
        <f>IFERROR('07a_ATC'!BC76*'07c_ATC_Ajustado'!$L$72,0)</f>
        <v>0</v>
      </c>
      <c r="BD76" s="427">
        <f>IFERROR('07a_ATC'!BD76*'07c_ATC_Ajustado'!$L$72,0)</f>
        <v>0</v>
      </c>
      <c r="BE76" s="427">
        <f>IFERROR('07a_ATC'!BE76*'07c_ATC_Ajustado'!$L$72,0)</f>
        <v>0</v>
      </c>
      <c r="BF76" s="427">
        <f>IFERROR('07a_ATC'!BF76*'07c_ATC_Ajustado'!$L$72,0)</f>
        <v>0</v>
      </c>
    </row>
    <row r="77" spans="1:58">
      <c r="L77" s="467" t="str">
        <f>'00_Datos_Mercado'!$B$7</f>
        <v>e_CS - Innovation (H, CS, Gamers)</v>
      </c>
      <c r="M77" s="429">
        <f t="shared" si="25"/>
        <v>121620.35038592429</v>
      </c>
      <c r="N77" s="427">
        <f>IFERROR('07a_ATC'!N77*'07c_ATC_Ajustado'!$L$72,0)</f>
        <v>3425.1532071674424</v>
      </c>
      <c r="O77" s="427">
        <f>IFERROR('07a_ATC'!O77*'07c_ATC_Ajustado'!$L$72,0)</f>
        <v>3810.0235022245533</v>
      </c>
      <c r="P77" s="427">
        <f>IFERROR('07a_ATC'!P77*'07c_ATC_Ajustado'!$L$72,0)</f>
        <v>3810.0235022245533</v>
      </c>
      <c r="Q77" s="427">
        <f>IFERROR('07a_ATC'!Q77*'07c_ATC_Ajustado'!$L$72,0)</f>
        <v>3810.0235022245533</v>
      </c>
      <c r="R77" s="427">
        <f>IFERROR('07a_ATC'!R77*'07c_ATC_Ajustado'!$L$72,0)</f>
        <v>0</v>
      </c>
      <c r="S77" s="427">
        <f>IFERROR('07a_ATC'!S77*'07c_ATC_Ajustado'!$L$72,0)</f>
        <v>3444.0363442607454</v>
      </c>
      <c r="T77" s="427">
        <f>IFERROR('07a_ATC'!T77*'07c_ATC_Ajustado'!$L$72,0)</f>
        <v>3444.0363442607454</v>
      </c>
      <c r="U77" s="427">
        <f>IFERROR('07a_ATC'!U77*'07c_ATC_Ajustado'!$L$72,0)</f>
        <v>3444.0363442607454</v>
      </c>
      <c r="V77" s="427">
        <f>IFERROR('07a_ATC'!V77*'07c_ATC_Ajustado'!$L$72,0)</f>
        <v>3444.0363442607454</v>
      </c>
      <c r="W77" s="427">
        <f>IFERROR('07a_ATC'!W77*'07c_ATC_Ajustado'!$L$72,0)</f>
        <v>3444.0363442607454</v>
      </c>
      <c r="X77" s="427">
        <f>IFERROR('07a_ATC'!X77*'07c_ATC_Ajustado'!$L$72,0)</f>
        <v>3444.0363442607454</v>
      </c>
      <c r="Y77" s="427">
        <f>IFERROR('07a_ATC'!Y77*'07c_ATC_Ajustado'!$L$72,0)</f>
        <v>3444.0363442607454</v>
      </c>
      <c r="Z77" s="427">
        <f>IFERROR('07a_ATC'!Z77*'07c_ATC_Ajustado'!$L$72,0)</f>
        <v>3444.0363442607454</v>
      </c>
      <c r="AA77" s="427">
        <f>IFERROR('07a_ATC'!AA77*'07c_ATC_Ajustado'!$L$72,0)</f>
        <v>3444.0363442607454</v>
      </c>
      <c r="AB77" s="427">
        <f>IFERROR('07a_ATC'!AB77*'07c_ATC_Ajustado'!$L$72,0)</f>
        <v>3444.0363442607454</v>
      </c>
      <c r="AC77" s="427">
        <f>IFERROR('07a_ATC'!AC77*'07c_ATC_Ajustado'!$L$72,0)</f>
        <v>3444.0363442607454</v>
      </c>
      <c r="AD77" s="427">
        <f>IFERROR('07a_ATC'!AD77*'07c_ATC_Ajustado'!$L$72,0)</f>
        <v>3444.0363442607454</v>
      </c>
      <c r="AE77" s="427">
        <f>IFERROR('07a_ATC'!AE77*'07c_ATC_Ajustado'!$L$72,0)</f>
        <v>3444.0363442607454</v>
      </c>
      <c r="AF77" s="427">
        <f>IFERROR('07a_ATC'!AF77*'07c_ATC_Ajustado'!$L$72,0)</f>
        <v>3444.0363442607454</v>
      </c>
      <c r="AG77" s="427">
        <f>IFERROR('07a_ATC'!AG77*'07c_ATC_Ajustado'!$L$72,0)</f>
        <v>3444.0363442607454</v>
      </c>
      <c r="AH77" s="427">
        <f>IFERROR('07a_ATC'!AH77*'07c_ATC_Ajustado'!$L$72,0)</f>
        <v>3444.0363442607454</v>
      </c>
      <c r="AI77" s="427">
        <f>IFERROR('07a_ATC'!AI77*'07c_ATC_Ajustado'!$L$72,0)</f>
        <v>3444.0363442607454</v>
      </c>
      <c r="AJ77" s="427">
        <f>IFERROR('07a_ATC'!AJ77*'07c_ATC_Ajustado'!$L$72,0)</f>
        <v>3444.0363442607454</v>
      </c>
      <c r="AK77" s="427">
        <f>IFERROR('07a_ATC'!AK77*'07c_ATC_Ajustado'!$L$72,0)</f>
        <v>3444.0363442607454</v>
      </c>
      <c r="AL77" s="427">
        <f>IFERROR('07a_ATC'!AL77*'07c_ATC_Ajustado'!$L$72,0)</f>
        <v>3444.0363442607454</v>
      </c>
      <c r="AM77" s="427">
        <f>IFERROR('07a_ATC'!AM77*'07c_ATC_Ajustado'!$L$72,0)</f>
        <v>3444.0363442607454</v>
      </c>
      <c r="AN77" s="427">
        <f>IFERROR('07a_ATC'!AN77*'07c_ATC_Ajustado'!$L$72,0)</f>
        <v>3444.0363442607454</v>
      </c>
      <c r="AO77" s="427">
        <f>IFERROR('07a_ATC'!AO77*'07c_ATC_Ajustado'!$L$72,0)</f>
        <v>3444.0363442607454</v>
      </c>
      <c r="AP77" s="427">
        <f>IFERROR('07a_ATC'!AP77*'07c_ATC_Ajustado'!$L$72,0)</f>
        <v>3444.0363442607454</v>
      </c>
      <c r="AQ77" s="427">
        <f>IFERROR('07a_ATC'!AQ77*'07c_ATC_Ajustado'!$L$72,0)</f>
        <v>3444.0363442607454</v>
      </c>
      <c r="AR77" s="427">
        <f>IFERROR('07a_ATC'!AR77*'07c_ATC_Ajustado'!$L$72,0)</f>
        <v>3444.0363442607454</v>
      </c>
      <c r="AS77" s="427">
        <f>IFERROR('07a_ATC'!AS77*'07c_ATC_Ajustado'!$L$72,0)</f>
        <v>3444.0363442607454</v>
      </c>
      <c r="AT77" s="427">
        <f>IFERROR('07a_ATC'!AT77*'07c_ATC_Ajustado'!$L$72,0)</f>
        <v>3444.0363442607454</v>
      </c>
      <c r="AU77" s="427">
        <f>IFERROR('07a_ATC'!AU77*'07c_ATC_Ajustado'!$L$72,0)</f>
        <v>3444.0363442607454</v>
      </c>
      <c r="AV77" s="427">
        <f>IFERROR('07a_ATC'!AV77*'07c_ATC_Ajustado'!$L$72,0)</f>
        <v>3444.0363442607454</v>
      </c>
      <c r="AW77" s="427">
        <f>IFERROR('07a_ATC'!AW77*'07c_ATC_Ajustado'!$L$72,0)</f>
        <v>3444.0363442607454</v>
      </c>
      <c r="AX77" s="427">
        <f>IFERROR('07a_ATC'!AX77*'07c_ATC_Ajustado'!$L$72,0)</f>
        <v>0</v>
      </c>
      <c r="AY77" s="427">
        <f>IFERROR('07a_ATC'!AY77*'07c_ATC_Ajustado'!$L$72,0)</f>
        <v>0</v>
      </c>
      <c r="AZ77" s="427">
        <f>IFERROR('07a_ATC'!AZ77*'07c_ATC_Ajustado'!$L$72,0)</f>
        <v>0</v>
      </c>
      <c r="BA77" s="427">
        <f>IFERROR('07a_ATC'!BA77*'07c_ATC_Ajustado'!$L$72,0)</f>
        <v>0</v>
      </c>
      <c r="BB77" s="427">
        <f>IFERROR('07a_ATC'!BB77*'07c_ATC_Ajustado'!$L$72,0)</f>
        <v>0</v>
      </c>
      <c r="BC77" s="427">
        <f>IFERROR('07a_ATC'!BC77*'07c_ATC_Ajustado'!$L$72,0)</f>
        <v>0</v>
      </c>
      <c r="BD77" s="427">
        <f>IFERROR('07a_ATC'!BD77*'07c_ATC_Ajustado'!$L$72,0)</f>
        <v>0</v>
      </c>
      <c r="BE77" s="427">
        <f>IFERROR('07a_ATC'!BE77*'07c_ATC_Ajustado'!$L$72,0)</f>
        <v>0</v>
      </c>
      <c r="BF77" s="427">
        <f>IFERROR('07a_ATC'!BF77*'07c_ATC_Ajustado'!$L$72,0)</f>
        <v>0</v>
      </c>
    </row>
    <row r="78" spans="1:58">
      <c r="L78" s="468" t="str">
        <f>'00_Datos_Mercado'!$B$8</f>
        <v xml:space="preserve">f_RES - VIS Ru </v>
      </c>
      <c r="M78" s="429">
        <f t="shared" si="25"/>
        <v>0</v>
      </c>
      <c r="N78" s="427">
        <f>IFERROR('07a_ATC'!N78*'07c_ATC_Ajustado'!$L$72,0)</f>
        <v>0</v>
      </c>
      <c r="O78" s="427">
        <f>IFERROR('07a_ATC'!O78*'07c_ATC_Ajustado'!$L$72,0)</f>
        <v>0</v>
      </c>
      <c r="P78" s="427">
        <f>IFERROR('07a_ATC'!P78*'07c_ATC_Ajustado'!$L$72,0)</f>
        <v>0</v>
      </c>
      <c r="Q78" s="427">
        <f>IFERROR('07a_ATC'!Q78*'07c_ATC_Ajustado'!$L$72,0)</f>
        <v>0</v>
      </c>
      <c r="R78" s="427">
        <f>IFERROR('07a_ATC'!R78*'07c_ATC_Ajustado'!$L$72,0)</f>
        <v>0</v>
      </c>
      <c r="S78" s="427">
        <f>IFERROR('07a_ATC'!S78*'07c_ATC_Ajustado'!$L$72,0)</f>
        <v>0</v>
      </c>
      <c r="T78" s="427">
        <f>IFERROR('07a_ATC'!T78*'07c_ATC_Ajustado'!$L$72,0)</f>
        <v>0</v>
      </c>
      <c r="U78" s="427">
        <f>IFERROR('07a_ATC'!U78*'07c_ATC_Ajustado'!$L$72,0)</f>
        <v>0</v>
      </c>
      <c r="V78" s="427">
        <f>IFERROR('07a_ATC'!V78*'07c_ATC_Ajustado'!$L$72,0)</f>
        <v>0</v>
      </c>
      <c r="W78" s="427">
        <f>IFERROR('07a_ATC'!W78*'07c_ATC_Ajustado'!$L$72,0)</f>
        <v>0</v>
      </c>
      <c r="X78" s="427">
        <f>IFERROR('07a_ATC'!X78*'07c_ATC_Ajustado'!$L$72,0)</f>
        <v>0</v>
      </c>
      <c r="Y78" s="427">
        <f>IFERROR('07a_ATC'!Y78*'07c_ATC_Ajustado'!$L$72,0)</f>
        <v>0</v>
      </c>
      <c r="Z78" s="427">
        <f>IFERROR('07a_ATC'!Z78*'07c_ATC_Ajustado'!$L$72,0)</f>
        <v>0</v>
      </c>
      <c r="AA78" s="427">
        <f>IFERROR('07a_ATC'!AA78*'07c_ATC_Ajustado'!$L$72,0)</f>
        <v>0</v>
      </c>
      <c r="AB78" s="427">
        <f>IFERROR('07a_ATC'!AB78*'07c_ATC_Ajustado'!$L$72,0)</f>
        <v>0</v>
      </c>
      <c r="AC78" s="427">
        <f>IFERROR('07a_ATC'!AC78*'07c_ATC_Ajustado'!$L$72,0)</f>
        <v>0</v>
      </c>
      <c r="AD78" s="427">
        <f>IFERROR('07a_ATC'!AD78*'07c_ATC_Ajustado'!$L$72,0)</f>
        <v>0</v>
      </c>
      <c r="AE78" s="427">
        <f>IFERROR('07a_ATC'!AE78*'07c_ATC_Ajustado'!$L$72,0)</f>
        <v>0</v>
      </c>
      <c r="AF78" s="427">
        <f>IFERROR('07a_ATC'!AF78*'07c_ATC_Ajustado'!$L$72,0)</f>
        <v>0</v>
      </c>
      <c r="AG78" s="427">
        <f>IFERROR('07a_ATC'!AG78*'07c_ATC_Ajustado'!$L$72,0)</f>
        <v>0</v>
      </c>
      <c r="AH78" s="427">
        <f>IFERROR('07a_ATC'!AH78*'07c_ATC_Ajustado'!$L$72,0)</f>
        <v>0</v>
      </c>
      <c r="AI78" s="427">
        <f>IFERROR('07a_ATC'!AI78*'07c_ATC_Ajustado'!$L$72,0)</f>
        <v>0</v>
      </c>
      <c r="AJ78" s="427">
        <f>IFERROR('07a_ATC'!AJ78*'07c_ATC_Ajustado'!$L$72,0)</f>
        <v>0</v>
      </c>
      <c r="AK78" s="427">
        <f>IFERROR('07a_ATC'!AK78*'07c_ATC_Ajustado'!$L$72,0)</f>
        <v>0</v>
      </c>
      <c r="AL78" s="427">
        <f>IFERROR('07a_ATC'!AL78*'07c_ATC_Ajustado'!$L$72,0)</f>
        <v>0</v>
      </c>
      <c r="AM78" s="427">
        <f>IFERROR('07a_ATC'!AM78*'07c_ATC_Ajustado'!$L$72,0)</f>
        <v>0</v>
      </c>
      <c r="AN78" s="427">
        <f>IFERROR('07a_ATC'!AN78*'07c_ATC_Ajustado'!$L$72,0)</f>
        <v>0</v>
      </c>
      <c r="AO78" s="427">
        <f>IFERROR('07a_ATC'!AO78*'07c_ATC_Ajustado'!$L$72,0)</f>
        <v>0</v>
      </c>
      <c r="AP78" s="427">
        <f>IFERROR('07a_ATC'!AP78*'07c_ATC_Ajustado'!$L$72,0)</f>
        <v>0</v>
      </c>
      <c r="AQ78" s="427">
        <f>IFERROR('07a_ATC'!AQ78*'07c_ATC_Ajustado'!$L$72,0)</f>
        <v>0</v>
      </c>
      <c r="AR78" s="427">
        <f>IFERROR('07a_ATC'!AR78*'07c_ATC_Ajustado'!$L$72,0)</f>
        <v>0</v>
      </c>
      <c r="AS78" s="427">
        <f>IFERROR('07a_ATC'!AS78*'07c_ATC_Ajustado'!$L$72,0)</f>
        <v>0</v>
      </c>
      <c r="AT78" s="427">
        <f>IFERROR('07a_ATC'!AT78*'07c_ATC_Ajustado'!$L$72,0)</f>
        <v>0</v>
      </c>
      <c r="AU78" s="427">
        <f>IFERROR('07a_ATC'!AU78*'07c_ATC_Ajustado'!$L$72,0)</f>
        <v>0</v>
      </c>
      <c r="AV78" s="427">
        <f>IFERROR('07a_ATC'!AV78*'07c_ATC_Ajustado'!$L$72,0)</f>
        <v>0</v>
      </c>
      <c r="AW78" s="427">
        <f>IFERROR('07a_ATC'!AW78*'07c_ATC_Ajustado'!$L$72,0)</f>
        <v>0</v>
      </c>
      <c r="AX78" s="427">
        <f>IFERROR('07a_ATC'!AX78*'07c_ATC_Ajustado'!$L$72,0)</f>
        <v>0</v>
      </c>
      <c r="AY78" s="427">
        <f>IFERROR('07a_ATC'!AY78*'07c_ATC_Ajustado'!$L$72,0)</f>
        <v>0</v>
      </c>
      <c r="AZ78" s="427">
        <f>IFERROR('07a_ATC'!AZ78*'07c_ATC_Ajustado'!$L$72,0)</f>
        <v>0</v>
      </c>
      <c r="BA78" s="427">
        <f>IFERROR('07a_ATC'!BA78*'07c_ATC_Ajustado'!$L$72,0)</f>
        <v>0</v>
      </c>
      <c r="BB78" s="427">
        <f>IFERROR('07a_ATC'!BB78*'07c_ATC_Ajustado'!$L$72,0)</f>
        <v>0</v>
      </c>
      <c r="BC78" s="427">
        <f>IFERROR('07a_ATC'!BC78*'07c_ATC_Ajustado'!$L$72,0)</f>
        <v>0</v>
      </c>
      <c r="BD78" s="427">
        <f>IFERROR('07a_ATC'!BD78*'07c_ATC_Ajustado'!$L$72,0)</f>
        <v>0</v>
      </c>
      <c r="BE78" s="427">
        <f>IFERROR('07a_ATC'!BE78*'07c_ATC_Ajustado'!$L$72,0)</f>
        <v>0</v>
      </c>
      <c r="BF78" s="427">
        <f>IFERROR('07a_ATC'!BF78*'07c_ATC_Ajustado'!$L$72,0)</f>
        <v>0</v>
      </c>
    </row>
    <row r="79" spans="1:58">
      <c r="L79" s="469" t="str">
        <f>'00_Datos_Mercado'!$B$10</f>
        <v>i_RES - No VIS</v>
      </c>
      <c r="M79" s="429">
        <f t="shared" si="25"/>
        <v>0</v>
      </c>
      <c r="N79" s="427">
        <f>IFERROR('07a_ATC'!N79*'07c_ATC_Ajustado'!$L$72,0)</f>
        <v>0</v>
      </c>
      <c r="O79" s="427">
        <f>IFERROR('07a_ATC'!O79*'07c_ATC_Ajustado'!$L$72,0)</f>
        <v>0</v>
      </c>
      <c r="P79" s="427">
        <f>IFERROR('07a_ATC'!P79*'07c_ATC_Ajustado'!$L$72,0)</f>
        <v>0</v>
      </c>
      <c r="Q79" s="427">
        <f>IFERROR('07a_ATC'!Q79*'07c_ATC_Ajustado'!$L$72,0)</f>
        <v>0</v>
      </c>
      <c r="R79" s="427">
        <f>IFERROR('07a_ATC'!R79*'07c_ATC_Ajustado'!$L$72,0)</f>
        <v>0</v>
      </c>
      <c r="S79" s="427">
        <f>IFERROR('07a_ATC'!S79*'07c_ATC_Ajustado'!$L$72,0)</f>
        <v>0</v>
      </c>
      <c r="T79" s="427">
        <f>IFERROR('07a_ATC'!T79*'07c_ATC_Ajustado'!$L$72,0)</f>
        <v>0</v>
      </c>
      <c r="U79" s="427">
        <f>IFERROR('07a_ATC'!U79*'07c_ATC_Ajustado'!$L$72,0)</f>
        <v>0</v>
      </c>
      <c r="V79" s="427">
        <f>IFERROR('07a_ATC'!V79*'07c_ATC_Ajustado'!$L$72,0)</f>
        <v>0</v>
      </c>
      <c r="W79" s="427">
        <f>IFERROR('07a_ATC'!W79*'07c_ATC_Ajustado'!$L$72,0)</f>
        <v>0</v>
      </c>
      <c r="X79" s="427">
        <f>IFERROR('07a_ATC'!X79*'07c_ATC_Ajustado'!$L$72,0)</f>
        <v>0</v>
      </c>
      <c r="Y79" s="427">
        <f>IFERROR('07a_ATC'!Y79*'07c_ATC_Ajustado'!$L$72,0)</f>
        <v>0</v>
      </c>
      <c r="Z79" s="427">
        <f>IFERROR('07a_ATC'!Z79*'07c_ATC_Ajustado'!$L$72,0)</f>
        <v>0</v>
      </c>
      <c r="AA79" s="427">
        <f>IFERROR('07a_ATC'!AA79*'07c_ATC_Ajustado'!$L$72,0)</f>
        <v>0</v>
      </c>
      <c r="AB79" s="427">
        <f>IFERROR('07a_ATC'!AB79*'07c_ATC_Ajustado'!$L$72,0)</f>
        <v>0</v>
      </c>
      <c r="AC79" s="427">
        <f>IFERROR('07a_ATC'!AC79*'07c_ATC_Ajustado'!$L$72,0)</f>
        <v>0</v>
      </c>
      <c r="AD79" s="427">
        <f>IFERROR('07a_ATC'!AD79*'07c_ATC_Ajustado'!$L$72,0)</f>
        <v>0</v>
      </c>
      <c r="AE79" s="427">
        <f>IFERROR('07a_ATC'!AE79*'07c_ATC_Ajustado'!$L$72,0)</f>
        <v>0</v>
      </c>
      <c r="AF79" s="427">
        <f>IFERROR('07a_ATC'!AF79*'07c_ATC_Ajustado'!$L$72,0)</f>
        <v>0</v>
      </c>
      <c r="AG79" s="427">
        <f>IFERROR('07a_ATC'!AG79*'07c_ATC_Ajustado'!$L$72,0)</f>
        <v>0</v>
      </c>
      <c r="AH79" s="427">
        <f>IFERROR('07a_ATC'!AH79*'07c_ATC_Ajustado'!$L$72,0)</f>
        <v>0</v>
      </c>
      <c r="AI79" s="427">
        <f>IFERROR('07a_ATC'!AI79*'07c_ATC_Ajustado'!$L$72,0)</f>
        <v>0</v>
      </c>
      <c r="AJ79" s="427">
        <f>IFERROR('07a_ATC'!AJ79*'07c_ATC_Ajustado'!$L$72,0)</f>
        <v>0</v>
      </c>
      <c r="AK79" s="427">
        <f>IFERROR('07a_ATC'!AK79*'07c_ATC_Ajustado'!$L$72,0)</f>
        <v>0</v>
      </c>
      <c r="AL79" s="427">
        <f>IFERROR('07a_ATC'!AL79*'07c_ATC_Ajustado'!$L$72,0)</f>
        <v>0</v>
      </c>
      <c r="AM79" s="427">
        <f>IFERROR('07a_ATC'!AM79*'07c_ATC_Ajustado'!$L$72,0)</f>
        <v>0</v>
      </c>
      <c r="AN79" s="427">
        <f>IFERROR('07a_ATC'!AN79*'07c_ATC_Ajustado'!$L$72,0)</f>
        <v>0</v>
      </c>
      <c r="AO79" s="427">
        <f>IFERROR('07a_ATC'!AO79*'07c_ATC_Ajustado'!$L$72,0)</f>
        <v>0</v>
      </c>
      <c r="AP79" s="427">
        <f>IFERROR('07a_ATC'!AP79*'07c_ATC_Ajustado'!$L$72,0)</f>
        <v>0</v>
      </c>
      <c r="AQ79" s="427">
        <f>IFERROR('07a_ATC'!AQ79*'07c_ATC_Ajustado'!$L$72,0)</f>
        <v>0</v>
      </c>
      <c r="AR79" s="427">
        <f>IFERROR('07a_ATC'!AR79*'07c_ATC_Ajustado'!$L$72,0)</f>
        <v>0</v>
      </c>
      <c r="AS79" s="427">
        <f>IFERROR('07a_ATC'!AS79*'07c_ATC_Ajustado'!$L$72,0)</f>
        <v>0</v>
      </c>
      <c r="AT79" s="427">
        <f>IFERROR('07a_ATC'!AT79*'07c_ATC_Ajustado'!$L$72,0)</f>
        <v>0</v>
      </c>
      <c r="AU79" s="427">
        <f>IFERROR('07a_ATC'!AU79*'07c_ATC_Ajustado'!$L$72,0)</f>
        <v>0</v>
      </c>
      <c r="AV79" s="427">
        <f>IFERROR('07a_ATC'!AV79*'07c_ATC_Ajustado'!$L$72,0)</f>
        <v>0</v>
      </c>
      <c r="AW79" s="427">
        <f>IFERROR('07a_ATC'!AW79*'07c_ATC_Ajustado'!$L$72,0)</f>
        <v>0</v>
      </c>
      <c r="AX79" s="427">
        <f>IFERROR('07a_ATC'!AX79*'07c_ATC_Ajustado'!$L$72,0)</f>
        <v>0</v>
      </c>
      <c r="AY79" s="427">
        <f>IFERROR('07a_ATC'!AY79*'07c_ATC_Ajustado'!$L$72,0)</f>
        <v>0</v>
      </c>
      <c r="AZ79" s="427">
        <f>IFERROR('07a_ATC'!AZ79*'07c_ATC_Ajustado'!$L$72,0)</f>
        <v>0</v>
      </c>
      <c r="BA79" s="427">
        <f>IFERROR('07a_ATC'!BA79*'07c_ATC_Ajustado'!$L$72,0)</f>
        <v>0</v>
      </c>
      <c r="BB79" s="427">
        <f>IFERROR('07a_ATC'!BB79*'07c_ATC_Ajustado'!$L$72,0)</f>
        <v>0</v>
      </c>
      <c r="BC79" s="427">
        <f>IFERROR('07a_ATC'!BC79*'07c_ATC_Ajustado'!$L$72,0)</f>
        <v>0</v>
      </c>
      <c r="BD79" s="427">
        <f>IFERROR('07a_ATC'!BD79*'07c_ATC_Ajustado'!$L$72,0)</f>
        <v>0</v>
      </c>
      <c r="BE79" s="427">
        <f>IFERROR('07a_ATC'!BE79*'07c_ATC_Ajustado'!$L$72,0)</f>
        <v>0</v>
      </c>
      <c r="BF79" s="427">
        <f>IFERROR('07a_ATC'!BF79*'07c_ATC_Ajustado'!$L$72,0)</f>
        <v>0</v>
      </c>
    </row>
    <row r="80" spans="1:58">
      <c r="A80" s="450"/>
      <c r="B80" s="424"/>
      <c r="C80" s="424"/>
      <c r="D80" s="424"/>
      <c r="E80" s="424"/>
      <c r="F80" s="424"/>
      <c r="G80" s="424"/>
      <c r="H80" s="462"/>
      <c r="I80" s="424"/>
      <c r="J80" s="424"/>
      <c r="K80" s="459"/>
      <c r="L80" s="470" t="s">
        <v>697</v>
      </c>
      <c r="M80" s="471">
        <f t="shared" ref="M80" si="26">SUM(N80:BF80)</f>
        <v>6888.0726885214908</v>
      </c>
      <c r="N80" s="472">
        <f>IFERROR('07a_ATC'!N80*'07c_ATC_Ajustado'!$L$72,0)</f>
        <v>0</v>
      </c>
      <c r="O80" s="472">
        <f>IFERROR('07a_ATC'!O80*'07c_ATC_Ajustado'!$L$72,0)</f>
        <v>0</v>
      </c>
      <c r="P80" s="472">
        <f>IFERROR('07a_ATC'!P80*'07c_ATC_Ajustado'!$L$72,0)</f>
        <v>0</v>
      </c>
      <c r="Q80" s="472">
        <f>IFERROR('07a_ATC'!Q80*'07c_ATC_Ajustado'!$L$72,0)</f>
        <v>0</v>
      </c>
      <c r="R80" s="472">
        <f>IFERROR('07a_ATC'!R80*'07c_ATC_Ajustado'!$L$72,0)</f>
        <v>3444.0363442607454</v>
      </c>
      <c r="S80" s="472">
        <f>IFERROR('07a_ATC'!S80*'07c_ATC_Ajustado'!$L$72,0)</f>
        <v>0</v>
      </c>
      <c r="T80" s="472">
        <f>IFERROR('07a_ATC'!T80*'07c_ATC_Ajustado'!$L$72,0)</f>
        <v>0</v>
      </c>
      <c r="U80" s="472">
        <f>IFERROR('07a_ATC'!U80*'07c_ATC_Ajustado'!$L$72,0)</f>
        <v>0</v>
      </c>
      <c r="V80" s="472">
        <f>IFERROR('07a_ATC'!V80*'07c_ATC_Ajustado'!$L$72,0)</f>
        <v>0</v>
      </c>
      <c r="W80" s="472">
        <f>IFERROR('07a_ATC'!W80*'07c_ATC_Ajustado'!$L$72,0)</f>
        <v>0</v>
      </c>
      <c r="X80" s="472">
        <f>IFERROR('07a_ATC'!X80*'07c_ATC_Ajustado'!$L$72,0)</f>
        <v>0</v>
      </c>
      <c r="Y80" s="472">
        <f>IFERROR('07a_ATC'!Y80*'07c_ATC_Ajustado'!$L$72,0)</f>
        <v>0</v>
      </c>
      <c r="Z80" s="472">
        <f>IFERROR('07a_ATC'!Z80*'07c_ATC_Ajustado'!$L$72,0)</f>
        <v>0</v>
      </c>
      <c r="AA80" s="472">
        <f>IFERROR('07a_ATC'!AA80*'07c_ATC_Ajustado'!$L$72,0)</f>
        <v>0</v>
      </c>
      <c r="AB80" s="472">
        <f>IFERROR('07a_ATC'!AB80*'07c_ATC_Ajustado'!$L$72,0)</f>
        <v>0</v>
      </c>
      <c r="AC80" s="472">
        <f>IFERROR('07a_ATC'!AC80*'07c_ATC_Ajustado'!$L$72,0)</f>
        <v>0</v>
      </c>
      <c r="AD80" s="472">
        <f>IFERROR('07a_ATC'!AD80*'07c_ATC_Ajustado'!$L$72,0)</f>
        <v>0</v>
      </c>
      <c r="AE80" s="472">
        <f>IFERROR('07a_ATC'!AE80*'07c_ATC_Ajustado'!$L$72,0)</f>
        <v>0</v>
      </c>
      <c r="AF80" s="472">
        <f>IFERROR('07a_ATC'!AF80*'07c_ATC_Ajustado'!$L$72,0)</f>
        <v>0</v>
      </c>
      <c r="AG80" s="472">
        <f>IFERROR('07a_ATC'!AG80*'07c_ATC_Ajustado'!$L$72,0)</f>
        <v>0</v>
      </c>
      <c r="AH80" s="472">
        <f>IFERROR('07a_ATC'!AH80*'07c_ATC_Ajustado'!$L$72,0)</f>
        <v>0</v>
      </c>
      <c r="AI80" s="472">
        <f>IFERROR('07a_ATC'!AI80*'07c_ATC_Ajustado'!$L$72,0)</f>
        <v>0</v>
      </c>
      <c r="AJ80" s="472">
        <f>IFERROR('07a_ATC'!AJ80*'07c_ATC_Ajustado'!$L$72,0)</f>
        <v>0</v>
      </c>
      <c r="AK80" s="472">
        <f>IFERROR('07a_ATC'!AK80*'07c_ATC_Ajustado'!$L$72,0)</f>
        <v>0</v>
      </c>
      <c r="AL80" s="472">
        <f>IFERROR('07a_ATC'!AL80*'07c_ATC_Ajustado'!$L$72,0)</f>
        <v>0</v>
      </c>
      <c r="AM80" s="472">
        <f>IFERROR('07a_ATC'!AM80*'07c_ATC_Ajustado'!$L$72,0)</f>
        <v>0</v>
      </c>
      <c r="AN80" s="472">
        <f>IFERROR('07a_ATC'!AN80*'07c_ATC_Ajustado'!$L$72,0)</f>
        <v>0</v>
      </c>
      <c r="AO80" s="472">
        <f>IFERROR('07a_ATC'!AO80*'07c_ATC_Ajustado'!$L$72,0)</f>
        <v>0</v>
      </c>
      <c r="AP80" s="472">
        <f>IFERROR('07a_ATC'!AP80*'07c_ATC_Ajustado'!$L$72,0)</f>
        <v>0</v>
      </c>
      <c r="AQ80" s="472">
        <f>IFERROR('07a_ATC'!AQ80*'07c_ATC_Ajustado'!$L$72,0)</f>
        <v>0</v>
      </c>
      <c r="AR80" s="472">
        <f>IFERROR('07a_ATC'!AR80*'07c_ATC_Ajustado'!$L$72,0)</f>
        <v>0</v>
      </c>
      <c r="AS80" s="472">
        <f>IFERROR('07a_ATC'!AS80*'07c_ATC_Ajustado'!$L$72,0)</f>
        <v>0</v>
      </c>
      <c r="AT80" s="472">
        <f>IFERROR('07a_ATC'!AT80*'07c_ATC_Ajustado'!$L$72,0)</f>
        <v>0</v>
      </c>
      <c r="AU80" s="472">
        <f>IFERROR('07a_ATC'!AU80*'07c_ATC_Ajustado'!$L$72,0)</f>
        <v>0</v>
      </c>
      <c r="AV80" s="472">
        <f>IFERROR('07a_ATC'!AV80*'07c_ATC_Ajustado'!$L$72,0)</f>
        <v>0</v>
      </c>
      <c r="AW80" s="472">
        <f>IFERROR('07a_ATC'!AW80*'07c_ATC_Ajustado'!$L$72,0)</f>
        <v>0</v>
      </c>
      <c r="AX80" s="472">
        <f>IFERROR('07a_ATC'!AX80*'07c_ATC_Ajustado'!$L$72,0)</f>
        <v>3444.0363442607454</v>
      </c>
      <c r="AY80" s="472">
        <f>IFERROR('07a_ATC'!AY80*'07c_ATC_Ajustado'!$L$72,0)</f>
        <v>0</v>
      </c>
      <c r="AZ80" s="472">
        <f>IFERROR('07a_ATC'!AZ80*'07c_ATC_Ajustado'!$L$72,0)</f>
        <v>0</v>
      </c>
      <c r="BA80" s="472">
        <f>IFERROR('07a_ATC'!BA80*'07c_ATC_Ajustado'!$L$72,0)</f>
        <v>0</v>
      </c>
      <c r="BB80" s="472">
        <f>IFERROR('07a_ATC'!BB80*'07c_ATC_Ajustado'!$L$72,0)</f>
        <v>0</v>
      </c>
      <c r="BC80" s="472">
        <f>IFERROR('07a_ATC'!BC80*'07c_ATC_Ajustado'!$L$72,0)</f>
        <v>0</v>
      </c>
      <c r="BD80" s="472">
        <f>IFERROR('07a_ATC'!BD80*'07c_ATC_Ajustado'!$L$72,0)</f>
        <v>0</v>
      </c>
      <c r="BE80" s="472">
        <f>IFERROR('07a_ATC'!BE80*'07c_ATC_Ajustado'!$L$72,0)</f>
        <v>0</v>
      </c>
      <c r="BF80" s="472">
        <f>IFERROR('07a_ATC'!BF80*'07c_ATC_Ajustado'!$L$72,0)</f>
        <v>0</v>
      </c>
    </row>
  </sheetData>
  <mergeCells count="13">
    <mergeCell ref="F3:F4"/>
    <mergeCell ref="N3:AR3"/>
    <mergeCell ref="L3:L4"/>
    <mergeCell ref="A1:K1"/>
    <mergeCell ref="A2:A4"/>
    <mergeCell ref="B2:B4"/>
    <mergeCell ref="C2:F2"/>
    <mergeCell ref="G2:H4"/>
    <mergeCell ref="I2:I4"/>
    <mergeCell ref="J2:K4"/>
    <mergeCell ref="C3:C4"/>
    <mergeCell ref="D3:D4"/>
    <mergeCell ref="E3:E4"/>
  </mergeCells>
  <pageMargins left="0.7" right="0.7" top="0.75" bottom="0.75" header="0.3" footer="0.3"/>
  <ignoredErrors>
    <ignoredError sqref="M27" formula="1"/>
    <ignoredError sqref="BB9" formulaRange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1C65C-946D-46D3-ADC4-A197E43039EE}">
  <sheetPr>
    <tabColor rgb="FFFFFF66"/>
  </sheetPr>
  <dimension ref="A1:BW17"/>
  <sheetViews>
    <sheetView zoomScale="130" zoomScaleNormal="130" workbookViewId="0">
      <selection activeCell="BC6" sqref="BC6:BC14"/>
    </sheetView>
  </sheetViews>
  <sheetFormatPr defaultColWidth="11.375" defaultRowHeight="13.15"/>
  <cols>
    <col min="1" max="1" width="4.875" style="588" bestFit="1" customWidth="1"/>
    <col min="2" max="2" width="13.25" style="588" bestFit="1" customWidth="1"/>
    <col min="3" max="3" width="15.125" style="588" bestFit="1" customWidth="1"/>
    <col min="4" max="6" width="15.125" style="588" customWidth="1"/>
    <col min="7" max="9" width="12.125" style="586" bestFit="1" customWidth="1"/>
    <col min="10" max="10" width="11.25" style="586" bestFit="1" customWidth="1"/>
    <col min="11" max="11" width="13.25" style="586" bestFit="1" customWidth="1"/>
    <col min="12" max="12" width="12.125" style="586" bestFit="1" customWidth="1"/>
    <col min="13" max="13" width="13.25" style="586" bestFit="1" customWidth="1"/>
    <col min="14" max="14" width="11.875" style="586" bestFit="1" customWidth="1"/>
    <col min="15" max="17" width="11" style="586" bestFit="1" customWidth="1"/>
    <col min="18" max="18" width="12.375" style="586" bestFit="1" customWidth="1"/>
    <col min="19" max="19" width="13.25" style="586" bestFit="1" customWidth="1"/>
    <col min="20" max="21" width="12.125" style="586" bestFit="1" customWidth="1"/>
    <col min="22" max="22" width="12.375" style="586" bestFit="1" customWidth="1"/>
    <col min="23" max="23" width="13.25" style="586" bestFit="1" customWidth="1"/>
    <col min="24" max="25" width="12.125" style="586" bestFit="1" customWidth="1"/>
    <col min="26" max="26" width="11.875" style="586" bestFit="1" customWidth="1"/>
    <col min="27" max="27" width="15.125" style="586" bestFit="1" customWidth="1"/>
    <col min="28" max="29" width="13.25" style="586" bestFit="1" customWidth="1"/>
    <col min="30" max="30" width="12.125" style="586" bestFit="1" customWidth="1"/>
    <col min="31" max="31" width="4.875" style="586" customWidth="1"/>
    <col min="32" max="33" width="13.25" style="586" bestFit="1" customWidth="1"/>
    <col min="34" max="34" width="20.75" style="586" bestFit="1" customWidth="1"/>
    <col min="35" max="35" width="4.625" style="263" customWidth="1"/>
    <col min="36" max="36" width="13.25" style="586" bestFit="1" customWidth="1"/>
    <col min="37" max="37" width="12.125" style="586" bestFit="1" customWidth="1"/>
    <col min="38" max="38" width="13.25" style="586" bestFit="1" customWidth="1"/>
    <col min="39" max="39" width="11" style="586" bestFit="1" customWidth="1"/>
    <col min="40" max="40" width="13.25" style="586" bestFit="1" customWidth="1"/>
    <col min="41" max="41" width="12.125" style="586" bestFit="1" customWidth="1"/>
    <col min="42" max="42" width="13.25" style="586" bestFit="1" customWidth="1"/>
    <col min="43" max="43" width="11" style="586" bestFit="1" customWidth="1"/>
    <col min="44" max="44" width="13.25" style="586" bestFit="1" customWidth="1"/>
    <col min="45" max="45" width="12.125" style="586" bestFit="1" customWidth="1"/>
    <col min="46" max="46" width="13.25" style="586" bestFit="1" customWidth="1"/>
    <col min="47" max="47" width="4.625" style="586" customWidth="1"/>
    <col min="48" max="52" width="9.125" style="586" customWidth="1"/>
    <col min="53" max="53" width="9.875" style="586" customWidth="1"/>
    <col min="54" max="61" width="9.125" style="586" customWidth="1"/>
    <col min="62" max="62" width="5.875" style="586" customWidth="1"/>
    <col min="63" max="63" width="20.25" style="586" bestFit="1" customWidth="1"/>
    <col min="64" max="64" width="15.125" style="586" bestFit="1" customWidth="1"/>
    <col min="65" max="67" width="13.25" style="586" bestFit="1" customWidth="1"/>
    <col min="68" max="68" width="12.125" style="586" bestFit="1" customWidth="1"/>
    <col min="69" max="69" width="6" style="412" customWidth="1"/>
    <col min="70" max="70" width="12.5" style="586" customWidth="1"/>
    <col min="71" max="71" width="14.25" style="586" customWidth="1"/>
    <col min="72" max="72" width="9.375" style="586" customWidth="1"/>
    <col min="73" max="73" width="8.125" style="743" customWidth="1"/>
    <col min="74" max="74" width="9.125" style="586" customWidth="1"/>
    <col min="75" max="16384" width="11.375" style="586"/>
  </cols>
  <sheetData>
    <row r="1" spans="1:75">
      <c r="A1" s="1606" t="s">
        <v>247</v>
      </c>
      <c r="B1" s="1609" t="s">
        <v>575</v>
      </c>
      <c r="C1" s="1609" t="s">
        <v>710</v>
      </c>
      <c r="D1" s="1612" t="s">
        <v>711</v>
      </c>
      <c r="E1" s="1613"/>
      <c r="F1" s="1614"/>
      <c r="G1" s="1624" t="s">
        <v>712</v>
      </c>
      <c r="H1" s="1624"/>
      <c r="I1" s="1624"/>
      <c r="J1" s="1624"/>
      <c r="K1" s="1624"/>
      <c r="L1" s="1624"/>
      <c r="M1" s="1624"/>
      <c r="N1" s="1624"/>
      <c r="O1" s="1624"/>
      <c r="P1" s="1624"/>
      <c r="Q1" s="1624"/>
      <c r="R1" s="1624"/>
      <c r="S1" s="1624"/>
      <c r="T1" s="1624"/>
      <c r="U1" s="1624"/>
      <c r="V1" s="1624"/>
      <c r="W1" s="1624"/>
      <c r="X1" s="1624"/>
      <c r="Y1" s="1624"/>
      <c r="Z1" s="1624"/>
      <c r="AA1" s="1598" t="s">
        <v>713</v>
      </c>
      <c r="AB1" s="1598"/>
      <c r="AC1" s="1598"/>
      <c r="AD1" s="1599"/>
      <c r="AE1" s="875"/>
      <c r="AF1" s="1618" t="s">
        <v>714</v>
      </c>
      <c r="AG1" s="1619"/>
      <c r="AH1" s="1620"/>
      <c r="AI1" s="891"/>
      <c r="AJ1" s="1621" t="s">
        <v>715</v>
      </c>
      <c r="AK1" s="1622"/>
      <c r="AL1" s="1622"/>
      <c r="AM1" s="1622"/>
      <c r="AN1" s="1622"/>
      <c r="AO1" s="1622"/>
      <c r="AP1" s="1622"/>
      <c r="AQ1" s="1622"/>
      <c r="AR1" s="1622"/>
      <c r="AS1" s="1622"/>
      <c r="AT1" s="1623"/>
      <c r="AU1" s="875"/>
      <c r="AV1" s="1603" t="s">
        <v>716</v>
      </c>
      <c r="AW1" s="1604"/>
      <c r="AX1" s="1604"/>
      <c r="AY1" s="1604"/>
      <c r="AZ1" s="1604"/>
      <c r="BA1" s="1604"/>
      <c r="BB1" s="1604"/>
      <c r="BC1" s="1604"/>
      <c r="BD1" s="1604"/>
      <c r="BE1" s="1604"/>
      <c r="BF1" s="1604"/>
      <c r="BG1" s="1604"/>
      <c r="BH1" s="1604"/>
      <c r="BI1" s="1605"/>
      <c r="BK1" s="1597" t="s">
        <v>717</v>
      </c>
      <c r="BL1" s="1598"/>
      <c r="BM1" s="1598"/>
      <c r="BN1" s="1598"/>
      <c r="BO1" s="1598"/>
      <c r="BP1" s="1599"/>
      <c r="BQ1" s="793"/>
      <c r="BR1" s="1591" t="s">
        <v>718</v>
      </c>
      <c r="BS1" s="1592"/>
      <c r="BT1" s="1592"/>
      <c r="BU1" s="1592"/>
      <c r="BV1" s="1592"/>
      <c r="BW1" s="1593"/>
    </row>
    <row r="2" spans="1:75" ht="52.9">
      <c r="A2" s="1607"/>
      <c r="B2" s="1610"/>
      <c r="C2" s="1610"/>
      <c r="D2" s="1615"/>
      <c r="E2" s="1616"/>
      <c r="F2" s="1617"/>
      <c r="G2" s="794" t="str">
        <f>'00_Datos_Mercado'!$B$3</f>
        <v xml:space="preserve">a_CS - Creativos </v>
      </c>
      <c r="H2" s="794"/>
      <c r="I2" s="794"/>
      <c r="J2" s="794"/>
      <c r="K2" s="795" t="str">
        <f>'00_Datos_Mercado'!$B$4</f>
        <v>b_CS - General (Comercio + Oficinas + Hospedaje)</v>
      </c>
      <c r="L2" s="795"/>
      <c r="M2" s="795"/>
      <c r="N2" s="795"/>
      <c r="O2" s="796" t="str">
        <f>'00_Datos_Mercado'!$B$5</f>
        <v>c_CS - Grandes Superficies</v>
      </c>
      <c r="P2" s="797"/>
      <c r="Q2" s="797"/>
      <c r="R2" s="797"/>
      <c r="S2" s="798" t="str">
        <f>'00_Datos_Mercado'!$B$6</f>
        <v>d_CS - Torre Empresarial (Oficinas + Hospedaje)</v>
      </c>
      <c r="T2" s="799"/>
      <c r="U2" s="799"/>
      <c r="V2" s="799"/>
      <c r="W2" s="800" t="str">
        <f>'00_Datos_Mercado'!$B$7</f>
        <v>e_CS - Innovation (H, CS, Gamers)</v>
      </c>
      <c r="X2" s="801"/>
      <c r="Y2" s="801"/>
      <c r="Z2" s="801"/>
      <c r="AA2" s="802" t="str">
        <f>'00_Datos_Mercado'!$B$10</f>
        <v>i_RES - No VIS</v>
      </c>
      <c r="AB2" s="803"/>
      <c r="AC2" s="803"/>
      <c r="AD2" s="866"/>
      <c r="AE2" s="876"/>
      <c r="AF2" s="882" t="s">
        <v>719</v>
      </c>
      <c r="AG2" s="804" t="s">
        <v>720</v>
      </c>
      <c r="AH2" s="883" t="s">
        <v>721</v>
      </c>
      <c r="AI2" s="891"/>
      <c r="AJ2" s="894" t="s">
        <v>722</v>
      </c>
      <c r="AK2" s="805"/>
      <c r="AL2" s="805"/>
      <c r="AM2" s="805"/>
      <c r="AN2" s="806" t="s">
        <v>723</v>
      </c>
      <c r="AO2" s="806"/>
      <c r="AP2" s="806"/>
      <c r="AQ2" s="806"/>
      <c r="AR2" s="807" t="s">
        <v>259</v>
      </c>
      <c r="AS2" s="808" t="s">
        <v>259</v>
      </c>
      <c r="AT2" s="895" t="s">
        <v>259</v>
      </c>
      <c r="AU2" s="898"/>
      <c r="AV2" s="899" t="s">
        <v>724</v>
      </c>
      <c r="AW2" s="1602" t="s">
        <v>725</v>
      </c>
      <c r="AX2" s="1602"/>
      <c r="AY2" s="805" t="s">
        <v>722</v>
      </c>
      <c r="AZ2" s="805"/>
      <c r="BA2" s="805"/>
      <c r="BB2" s="805"/>
      <c r="BC2" s="806" t="s">
        <v>723</v>
      </c>
      <c r="BD2" s="806"/>
      <c r="BE2" s="806"/>
      <c r="BF2" s="806"/>
      <c r="BG2" s="807" t="s">
        <v>259</v>
      </c>
      <c r="BH2" s="807" t="s">
        <v>259</v>
      </c>
      <c r="BI2" s="900" t="s">
        <v>259</v>
      </c>
      <c r="BJ2" s="810"/>
      <c r="BK2" s="1600" t="s">
        <v>726</v>
      </c>
      <c r="BL2" s="1589" t="s">
        <v>710</v>
      </c>
      <c r="BM2" s="1589" t="str">
        <f>'00_Datos_Mercado'!B10</f>
        <v>i_RES - No VIS</v>
      </c>
      <c r="BN2" s="1589"/>
      <c r="BO2" s="1589"/>
      <c r="BP2" s="1590"/>
      <c r="BQ2" s="793"/>
      <c r="BR2" s="1594"/>
      <c r="BS2" s="1595"/>
      <c r="BT2" s="1595"/>
      <c r="BU2" s="1595"/>
      <c r="BV2" s="1595"/>
      <c r="BW2" s="1596"/>
    </row>
    <row r="3" spans="1:75" ht="26.45">
      <c r="A3" s="1608"/>
      <c r="B3" s="1611"/>
      <c r="C3" s="1611"/>
      <c r="D3" s="614" t="s">
        <v>727</v>
      </c>
      <c r="E3" s="614" t="s">
        <v>728</v>
      </c>
      <c r="F3" s="614" t="s">
        <v>729</v>
      </c>
      <c r="G3" s="812" t="s">
        <v>730</v>
      </c>
      <c r="H3" s="812" t="s">
        <v>136</v>
      </c>
      <c r="I3" s="812" t="s">
        <v>731</v>
      </c>
      <c r="J3" s="812" t="s">
        <v>732</v>
      </c>
      <c r="K3" s="812" t="s">
        <v>730</v>
      </c>
      <c r="L3" s="812" t="s">
        <v>136</v>
      </c>
      <c r="M3" s="812" t="s">
        <v>731</v>
      </c>
      <c r="N3" s="812" t="s">
        <v>733</v>
      </c>
      <c r="O3" s="812" t="s">
        <v>730</v>
      </c>
      <c r="P3" s="812" t="s">
        <v>136</v>
      </c>
      <c r="Q3" s="812" t="s">
        <v>731</v>
      </c>
      <c r="R3" s="812" t="s">
        <v>734</v>
      </c>
      <c r="S3" s="812" t="s">
        <v>730</v>
      </c>
      <c r="T3" s="812" t="s">
        <v>136</v>
      </c>
      <c r="U3" s="812" t="s">
        <v>731</v>
      </c>
      <c r="V3" s="812" t="s">
        <v>734</v>
      </c>
      <c r="W3" s="812" t="s">
        <v>730</v>
      </c>
      <c r="X3" s="812" t="s">
        <v>136</v>
      </c>
      <c r="Y3" s="812" t="s">
        <v>731</v>
      </c>
      <c r="Z3" s="812" t="s">
        <v>733</v>
      </c>
      <c r="AA3" s="812" t="s">
        <v>730</v>
      </c>
      <c r="AB3" s="812" t="s">
        <v>136</v>
      </c>
      <c r="AC3" s="812" t="s">
        <v>731</v>
      </c>
      <c r="AD3" s="867" t="s">
        <v>735</v>
      </c>
      <c r="AE3" s="877"/>
      <c r="AF3" s="884"/>
      <c r="AG3" s="812"/>
      <c r="AH3" s="885"/>
      <c r="AI3" s="891"/>
      <c r="AJ3" s="884" t="s">
        <v>730</v>
      </c>
      <c r="AK3" s="812" t="s">
        <v>136</v>
      </c>
      <c r="AL3" s="812" t="s">
        <v>731</v>
      </c>
      <c r="AM3" s="812" t="s">
        <v>736</v>
      </c>
      <c r="AN3" s="812" t="s">
        <v>730</v>
      </c>
      <c r="AO3" s="812" t="s">
        <v>136</v>
      </c>
      <c r="AP3" s="812" t="s">
        <v>731</v>
      </c>
      <c r="AQ3" s="812" t="s">
        <v>737</v>
      </c>
      <c r="AR3" s="812" t="s">
        <v>730</v>
      </c>
      <c r="AS3" s="812" t="s">
        <v>136</v>
      </c>
      <c r="AT3" s="867" t="s">
        <v>731</v>
      </c>
      <c r="AU3" s="877"/>
      <c r="AV3" s="884"/>
      <c r="AW3" s="812"/>
      <c r="AX3" s="812"/>
      <c r="AY3" s="812" t="s">
        <v>730</v>
      </c>
      <c r="AZ3" s="812" t="s">
        <v>136</v>
      </c>
      <c r="BA3" s="812" t="s">
        <v>731</v>
      </c>
      <c r="BB3" s="812" t="s">
        <v>738</v>
      </c>
      <c r="BC3" s="812" t="s">
        <v>730</v>
      </c>
      <c r="BD3" s="812" t="s">
        <v>136</v>
      </c>
      <c r="BE3" s="812" t="s">
        <v>731</v>
      </c>
      <c r="BF3" s="812" t="s">
        <v>739</v>
      </c>
      <c r="BG3" s="812" t="s">
        <v>730</v>
      </c>
      <c r="BH3" s="812" t="s">
        <v>136</v>
      </c>
      <c r="BI3" s="867" t="s">
        <v>731</v>
      </c>
      <c r="BK3" s="1601"/>
      <c r="BL3" s="1589"/>
      <c r="BM3" s="792" t="s">
        <v>740</v>
      </c>
      <c r="BN3" s="792" t="s">
        <v>741</v>
      </c>
      <c r="BO3" s="792" t="s">
        <v>731</v>
      </c>
      <c r="BP3" s="811" t="s">
        <v>742</v>
      </c>
      <c r="BQ3" s="793"/>
      <c r="BR3" s="1406" t="s">
        <v>719</v>
      </c>
      <c r="BS3" s="1407" t="s">
        <v>743</v>
      </c>
      <c r="BT3" s="1588" t="s">
        <v>744</v>
      </c>
      <c r="BU3" s="1588"/>
      <c r="BV3" s="1586" t="s">
        <v>745</v>
      </c>
      <c r="BW3" s="1587"/>
    </row>
    <row r="4" spans="1:75" s="821" customFormat="1">
      <c r="A4" s="868"/>
      <c r="B4" s="813"/>
      <c r="C4" s="813"/>
      <c r="D4" s="813"/>
      <c r="E4" s="813"/>
      <c r="F4" s="813"/>
      <c r="G4" s="722"/>
      <c r="H4" s="814">
        <f>'00_Datos_General'!B4</f>
        <v>0.3</v>
      </c>
      <c r="I4" s="722"/>
      <c r="J4" s="722">
        <f>'00_Datos_General'!G4</f>
        <v>50</v>
      </c>
      <c r="K4" s="747"/>
      <c r="L4" s="814">
        <v>0.35</v>
      </c>
      <c r="M4" s="747"/>
      <c r="N4" s="722">
        <f>'00_Datos_General'!G5</f>
        <v>70</v>
      </c>
      <c r="O4" s="747"/>
      <c r="P4" s="814">
        <f>'00_Datos_General'!B6</f>
        <v>0.5</v>
      </c>
      <c r="Q4" s="747"/>
      <c r="R4" s="722" t="str">
        <f>'00_Datos_General'!G6</f>
        <v>n.a.</v>
      </c>
      <c r="S4" s="747"/>
      <c r="T4" s="814">
        <f>'00_Datos_General'!B7</f>
        <v>0.35</v>
      </c>
      <c r="U4" s="747"/>
      <c r="V4" s="722">
        <v>100</v>
      </c>
      <c r="W4" s="747"/>
      <c r="X4" s="814">
        <f>'00_Datos_General'!B8</f>
        <v>0.35</v>
      </c>
      <c r="Y4" s="747"/>
      <c r="Z4" s="722">
        <f>'00_Datos_General'!G8</f>
        <v>50</v>
      </c>
      <c r="AA4" s="747"/>
      <c r="AB4" s="814">
        <f>'00_Datos_General'!B9</f>
        <v>0.2</v>
      </c>
      <c r="AC4" s="747"/>
      <c r="AD4" s="869">
        <f>'00_Datos_General'!G9</f>
        <v>70</v>
      </c>
      <c r="AE4" s="878"/>
      <c r="AF4" s="886"/>
      <c r="AG4" s="722"/>
      <c r="AH4" s="887"/>
      <c r="AI4" s="892"/>
      <c r="AJ4" s="896"/>
      <c r="AK4" s="817">
        <f>'00_Datos_General'!B11</f>
        <v>0.2</v>
      </c>
      <c r="AL4" s="818">
        <v>0.08</v>
      </c>
      <c r="AM4" s="748">
        <f>'00_Datos_General'!G10</f>
        <v>48</v>
      </c>
      <c r="AN4" s="819"/>
      <c r="AO4" s="817">
        <f>'00_Datos_General'!B10</f>
        <v>0.2</v>
      </c>
      <c r="AP4" s="818">
        <v>0.06</v>
      </c>
      <c r="AQ4" s="748">
        <f>'00_Datos_General'!G11</f>
        <v>42</v>
      </c>
      <c r="AR4" s="815"/>
      <c r="AS4" s="815"/>
      <c r="AT4" s="897"/>
      <c r="AU4" s="892"/>
      <c r="AV4" s="822"/>
      <c r="AW4" s="815"/>
      <c r="AX4" s="815"/>
      <c r="AY4" s="815"/>
      <c r="AZ4" s="816">
        <f>'00_Datos_General'!B10</f>
        <v>0.2</v>
      </c>
      <c r="BA4" s="815"/>
      <c r="BB4" s="820">
        <f>'00_Datos_General'!G10</f>
        <v>48</v>
      </c>
      <c r="BC4" s="815"/>
      <c r="BD4" s="816">
        <f>'00_Datos_General'!B11</f>
        <v>0.2</v>
      </c>
      <c r="BE4" s="815"/>
      <c r="BF4" s="820">
        <f>'00_Datos_General'!G11</f>
        <v>42</v>
      </c>
      <c r="BG4" s="815"/>
      <c r="BH4" s="815"/>
      <c r="BI4" s="897"/>
      <c r="BK4" s="822"/>
      <c r="BL4" s="815"/>
      <c r="BM4" s="815"/>
      <c r="BN4" s="816">
        <f>'00_Datos_General'!B9</f>
        <v>0.2</v>
      </c>
      <c r="BO4" s="815"/>
      <c r="BP4" s="823">
        <f>'00_Datos_General'!G9</f>
        <v>70</v>
      </c>
      <c r="BQ4" s="824"/>
      <c r="BR4" s="825"/>
      <c r="BS4" s="826"/>
      <c r="BT4" s="826"/>
      <c r="BU4" s="827"/>
      <c r="BV4" s="826"/>
      <c r="BW4" s="828"/>
    </row>
    <row r="5" spans="1:75" s="833" customFormat="1">
      <c r="A5" s="834"/>
      <c r="B5" s="829"/>
      <c r="C5" s="829"/>
      <c r="D5" s="829"/>
      <c r="E5" s="829"/>
      <c r="F5" s="830">
        <f>F6/B6</f>
        <v>7.1969379962850031</v>
      </c>
      <c r="G5" s="829"/>
      <c r="H5" s="829"/>
      <c r="I5" s="829"/>
      <c r="J5" s="829"/>
      <c r="K5" s="829"/>
      <c r="L5" s="829"/>
      <c r="M5" s="829"/>
      <c r="N5" s="829"/>
      <c r="O5" s="829"/>
      <c r="P5" s="829"/>
      <c r="Q5" s="829"/>
      <c r="R5" s="829"/>
      <c r="S5" s="829"/>
      <c r="T5" s="829"/>
      <c r="U5" s="829"/>
      <c r="V5" s="829"/>
      <c r="W5" s="829"/>
      <c r="X5" s="829"/>
      <c r="Y5" s="829"/>
      <c r="Z5" s="829"/>
      <c r="AA5" s="829"/>
      <c r="AB5" s="829"/>
      <c r="AC5" s="829"/>
      <c r="AD5" s="835"/>
      <c r="AE5" s="879"/>
      <c r="AF5" s="888"/>
      <c r="AG5" s="831"/>
      <c r="AH5" s="835"/>
      <c r="AI5" s="893"/>
      <c r="AJ5" s="834"/>
      <c r="AK5" s="829"/>
      <c r="AL5" s="829"/>
      <c r="AM5" s="829"/>
      <c r="AN5" s="829"/>
      <c r="AO5" s="829"/>
      <c r="AP5" s="829"/>
      <c r="AQ5" s="829"/>
      <c r="AR5" s="829"/>
      <c r="AS5" s="829"/>
      <c r="AT5" s="835"/>
      <c r="AU5" s="893"/>
      <c r="AV5" s="834"/>
      <c r="AW5" s="829"/>
      <c r="AX5" s="829"/>
      <c r="AY5" s="829"/>
      <c r="AZ5" s="829"/>
      <c r="BA5" s="832">
        <f>AL6</f>
        <v>85596.219255526463</v>
      </c>
      <c r="BB5" s="829"/>
      <c r="BC5" s="829"/>
      <c r="BD5" s="829"/>
      <c r="BE5" s="832">
        <f>AP6</f>
        <v>64197.164441644854</v>
      </c>
      <c r="BF5" s="829"/>
      <c r="BG5" s="829"/>
      <c r="BH5" s="829"/>
      <c r="BI5" s="835"/>
      <c r="BK5" s="834"/>
      <c r="BL5" s="829"/>
      <c r="BM5" s="829"/>
      <c r="BN5" s="829"/>
      <c r="BO5" s="829"/>
      <c r="BP5" s="835"/>
      <c r="BQ5" s="836"/>
      <c r="BR5" s="837"/>
      <c r="BS5" s="838"/>
      <c r="BT5" s="838"/>
      <c r="BU5" s="838"/>
      <c r="BV5" s="838"/>
      <c r="BW5" s="839"/>
    </row>
    <row r="6" spans="1:75">
      <c r="A6" s="870"/>
      <c r="B6" s="840">
        <f>SUM(B7:B14)</f>
        <v>164776.711307171</v>
      </c>
      <c r="C6" s="840">
        <f>SUM(C7:C14)</f>
        <v>1465249.9800832341</v>
      </c>
      <c r="D6" s="841">
        <f>SUM(D7:D14)</f>
        <v>1465249.9800832341</v>
      </c>
      <c r="E6" s="1398">
        <f t="shared" ref="E6:F6" si="0">SUM(E7:E14)</f>
        <v>279362.20557377045</v>
      </c>
      <c r="F6" s="1398">
        <f t="shared" si="0"/>
        <v>1185887.7745094637</v>
      </c>
      <c r="G6" s="840">
        <f>SUM(G7:G14)</f>
        <v>38163.077424174306</v>
      </c>
      <c r="H6" s="840">
        <f t="shared" ref="H6:AD6" si="1">SUM(H7:H14)</f>
        <v>8806.8640209633013</v>
      </c>
      <c r="I6" s="582">
        <f t="shared" si="1"/>
        <v>29356.213403211012</v>
      </c>
      <c r="J6" s="842">
        <f t="shared" si="1"/>
        <v>587</v>
      </c>
      <c r="K6" s="840">
        <f t="shared" si="1"/>
        <v>128310.03532544983</v>
      </c>
      <c r="L6" s="840">
        <f t="shared" si="1"/>
        <v>33265.564714005515</v>
      </c>
      <c r="M6" s="582">
        <f t="shared" si="1"/>
        <v>95044.470611444325</v>
      </c>
      <c r="N6" s="842">
        <f t="shared" si="1"/>
        <v>1358</v>
      </c>
      <c r="O6" s="840">
        <f t="shared" si="1"/>
        <v>5437.7197600126192</v>
      </c>
      <c r="P6" s="840">
        <f t="shared" si="1"/>
        <v>1812.5732533375397</v>
      </c>
      <c r="Q6" s="840">
        <f t="shared" si="1"/>
        <v>3625.1465066750798</v>
      </c>
      <c r="R6" s="842">
        <f>SUM(R7:R14)</f>
        <v>1</v>
      </c>
      <c r="S6" s="840">
        <f t="shared" si="1"/>
        <v>93522.982704612499</v>
      </c>
      <c r="T6" s="840">
        <f t="shared" si="1"/>
        <v>24246.699219714348</v>
      </c>
      <c r="U6" s="582">
        <f t="shared" si="1"/>
        <v>69276.283484898158</v>
      </c>
      <c r="V6" s="842">
        <f t="shared" si="1"/>
        <v>693</v>
      </c>
      <c r="W6" s="840">
        <f t="shared" si="1"/>
        <v>121620.35038592429</v>
      </c>
      <c r="X6" s="840">
        <f t="shared" si="1"/>
        <v>31531.201951906296</v>
      </c>
      <c r="Y6" s="840">
        <f t="shared" si="1"/>
        <v>90089.148434017989</v>
      </c>
      <c r="Z6" s="842">
        <f t="shared" si="1"/>
        <v>1802</v>
      </c>
      <c r="AA6" s="840">
        <f t="shared" si="1"/>
        <v>939073.773904601</v>
      </c>
      <c r="AB6" s="840">
        <f t="shared" si="1"/>
        <v>156512.29565076684</v>
      </c>
      <c r="AC6" s="582">
        <f t="shared" si="1"/>
        <v>782561.47825383407</v>
      </c>
      <c r="AD6" s="871">
        <f t="shared" si="1"/>
        <v>11179</v>
      </c>
      <c r="AE6" s="880"/>
      <c r="AF6" s="1408">
        <f t="shared" ref="AF6:AR6" si="2">SUM(AF7:AF14)</f>
        <v>287391.26244024653</v>
      </c>
      <c r="AG6" s="582">
        <f>SUM(AG7:AG14)</f>
        <v>782561.47825383407</v>
      </c>
      <c r="AH6" s="1467">
        <f t="shared" si="2"/>
        <v>1069952.7406940807</v>
      </c>
      <c r="AI6" s="891"/>
      <c r="AJ6" s="889">
        <f t="shared" si="2"/>
        <v>102715.46310663175</v>
      </c>
      <c r="AK6" s="840">
        <f t="shared" si="2"/>
        <v>17119.24385110529</v>
      </c>
      <c r="AL6" s="582">
        <f t="shared" si="2"/>
        <v>85596.219255526463</v>
      </c>
      <c r="AM6" s="842">
        <f t="shared" si="2"/>
        <v>1783</v>
      </c>
      <c r="AN6" s="840">
        <f t="shared" si="2"/>
        <v>77036.597329973825</v>
      </c>
      <c r="AO6" s="840">
        <f t="shared" si="2"/>
        <v>12839.432888328969</v>
      </c>
      <c r="AP6" s="582">
        <f t="shared" si="2"/>
        <v>64197.164441644854</v>
      </c>
      <c r="AQ6" s="842">
        <f t="shared" si="2"/>
        <v>1529</v>
      </c>
      <c r="AR6" s="840">
        <f t="shared" si="2"/>
        <v>179752.06043660556</v>
      </c>
      <c r="AS6" s="840">
        <f t="shared" ref="AS6" si="3">SUM(AS7:AS14)</f>
        <v>29958.676739434264</v>
      </c>
      <c r="AT6" s="890">
        <f t="shared" ref="AT6:AX6" si="4">SUM(AT7:AT14)</f>
        <v>149793.38369717129</v>
      </c>
      <c r="AU6" s="880"/>
      <c r="AV6" s="1408">
        <f t="shared" si="4"/>
        <v>23639.276067826791</v>
      </c>
      <c r="AW6" s="582">
        <f t="shared" si="4"/>
        <v>126154.10762934451</v>
      </c>
      <c r="AX6" s="843">
        <f t="shared" si="4"/>
        <v>1.0000000000000002</v>
      </c>
      <c r="AY6" s="1412">
        <f t="shared" ref="AY6:BI6" si="5">SUM(AY7:AY14)</f>
        <v>102715.46310663177</v>
      </c>
      <c r="AZ6" s="1412">
        <f t="shared" si="5"/>
        <v>17119.243851105297</v>
      </c>
      <c r="BA6" s="1412">
        <f t="shared" si="5"/>
        <v>85596.219255526463</v>
      </c>
      <c r="BB6" s="1413">
        <f t="shared" si="5"/>
        <v>1782</v>
      </c>
      <c r="BC6" s="1412">
        <f t="shared" si="5"/>
        <v>77036.597329973825</v>
      </c>
      <c r="BD6" s="1412">
        <f t="shared" si="5"/>
        <v>12839.432888328973</v>
      </c>
      <c r="BE6" s="1412">
        <f t="shared" si="5"/>
        <v>64197.164441644862</v>
      </c>
      <c r="BF6" s="1413">
        <f t="shared" si="5"/>
        <v>1528</v>
      </c>
      <c r="BG6" s="1412">
        <f t="shared" si="5"/>
        <v>179752.06043660559</v>
      </c>
      <c r="BH6" s="1412">
        <f t="shared" si="5"/>
        <v>29958.676739434264</v>
      </c>
      <c r="BI6" s="1414">
        <f t="shared" si="5"/>
        <v>149793.38369717132</v>
      </c>
      <c r="BJ6" s="588"/>
      <c r="BK6" s="844">
        <f t="shared" ref="BK6:BT6" si="6">SUM(BK7:BK14)</f>
        <v>566806.22603677923</v>
      </c>
      <c r="BL6" s="845">
        <f t="shared" si="6"/>
        <v>1465249.9800832341</v>
      </c>
      <c r="BM6" s="845">
        <f t="shared" si="6"/>
        <v>898443.75404645479</v>
      </c>
      <c r="BN6" s="845">
        <f t="shared" si="6"/>
        <v>149740.62567440918</v>
      </c>
      <c r="BO6" s="845">
        <f t="shared" si="6"/>
        <v>748703.12837204558</v>
      </c>
      <c r="BP6" s="846">
        <f>SUM(BP7:BP14)</f>
        <v>10697</v>
      </c>
      <c r="BQ6" s="847"/>
      <c r="BR6" s="1400">
        <f t="shared" si="6"/>
        <v>287391.26244024653</v>
      </c>
      <c r="BS6" s="1401">
        <f t="shared" si="6"/>
        <v>1036094.3908122922</v>
      </c>
      <c r="BT6" s="1401">
        <f t="shared" si="6"/>
        <v>85596.219255526463</v>
      </c>
      <c r="BU6" s="848">
        <f>BT6/BS6</f>
        <v>8.2614306200827423E-2</v>
      </c>
      <c r="BV6" s="1401">
        <f>SUM(BV7:BV14)</f>
        <v>64197.164441644862</v>
      </c>
      <c r="BW6" s="849">
        <f>BV6/BS6</f>
        <v>6.1960729650620577E-2</v>
      </c>
    </row>
    <row r="7" spans="1:75">
      <c r="A7" s="872">
        <v>1</v>
      </c>
      <c r="B7" s="850">
        <f>'06_CARGAS'!B8</f>
        <v>17268.248534736002</v>
      </c>
      <c r="C7" s="850">
        <f>'07c_ATC_Ajustado'!M9</f>
        <v>106329.81169669119</v>
      </c>
      <c r="D7" s="850">
        <f t="shared" ref="D7:F14" si="7">SUM(G7,K7,O7,S7,W7,AY7,BC7,BM7)</f>
        <v>106329.81169669119</v>
      </c>
      <c r="E7" s="585">
        <f t="shared" si="7"/>
        <v>27566.988217660677</v>
      </c>
      <c r="F7" s="585">
        <f t="shared" si="7"/>
        <v>78762.823479030529</v>
      </c>
      <c r="G7" s="851">
        <f>VLOOKUP(G2,'07c_ATC_Ajustado'!$L$10:$M$16,2)</f>
        <v>0</v>
      </c>
      <c r="H7" s="851">
        <f>G7*$H$4/(1+$H$4)</f>
        <v>0</v>
      </c>
      <c r="I7" s="583">
        <f>G7-H7</f>
        <v>0</v>
      </c>
      <c r="J7" s="851">
        <f>ROUND(I7/$J$4,0)</f>
        <v>0</v>
      </c>
      <c r="K7" s="851">
        <f>VLOOKUP(K2,'07c_ATC_Ajustado'!$L$10:$M$16,2)</f>
        <v>12806.828992078696</v>
      </c>
      <c r="L7" s="851">
        <f>K7*$L$4/(1+$L$4)</f>
        <v>3320.288997946328</v>
      </c>
      <c r="M7" s="583">
        <f>K7-L7</f>
        <v>9486.5399941323667</v>
      </c>
      <c r="N7" s="851">
        <f>ROUND(M7/$N$4,0)</f>
        <v>136</v>
      </c>
      <c r="O7" s="851">
        <f>VLOOKUP(O2,'07c_ATC_Ajustado'!$L$10:$M$16,2)</f>
        <v>0</v>
      </c>
      <c r="P7" s="851">
        <f>O7*$P$4/(1+$P$4)</f>
        <v>0</v>
      </c>
      <c r="Q7" s="851">
        <f>O7-P7</f>
        <v>0</v>
      </c>
      <c r="R7" s="851">
        <v>0</v>
      </c>
      <c r="S7" s="851">
        <f>VLOOKUP(S2,'07c_ATC_Ajustado'!$L$10:$M$16,2)</f>
        <v>93522.982704612499</v>
      </c>
      <c r="T7" s="851">
        <f>S7*$T$4/(1+$T$4)</f>
        <v>24246.699219714348</v>
      </c>
      <c r="U7" s="583">
        <f>S7-T7</f>
        <v>69276.283484898158</v>
      </c>
      <c r="V7" s="851">
        <f>ROUND(U7/$V$4,0)</f>
        <v>693</v>
      </c>
      <c r="W7" s="851">
        <f>VLOOKUP(W2,'07c_ATC_Ajustado'!$L$10:$M$16,2)</f>
        <v>0</v>
      </c>
      <c r="X7" s="851">
        <f>W7*$X$4/(1+$X$4)</f>
        <v>0</v>
      </c>
      <c r="Y7" s="851">
        <f>W7-X7</f>
        <v>0</v>
      </c>
      <c r="Z7" s="851">
        <f>ROUND(Y7/$Z$4,0)</f>
        <v>0</v>
      </c>
      <c r="AA7" s="851">
        <f>VLOOKUP(AA2,'07c_ATC_Ajustado'!$L$10:$M$16,2)</f>
        <v>0</v>
      </c>
      <c r="AB7" s="851">
        <f>AA7*$AB$4/(1+$AB$4)</f>
        <v>0</v>
      </c>
      <c r="AC7" s="583">
        <f>AA7-AB7</f>
        <v>0</v>
      </c>
      <c r="AD7" s="854">
        <f>ROUND(AC7/$AD$4,0)</f>
        <v>0</v>
      </c>
      <c r="AE7" s="881"/>
      <c r="AF7" s="1409">
        <f>SUM(I7,M7,Q7,U7,Y7)</f>
        <v>78762.823479030529</v>
      </c>
      <c r="AG7" s="583">
        <f>AC7</f>
        <v>0</v>
      </c>
      <c r="AH7" s="1468">
        <f>SUM(AF7:AG7)</f>
        <v>78762.823479030529</v>
      </c>
      <c r="AI7" s="891"/>
      <c r="AJ7" s="853">
        <f>SUM(AK7:AL7)</f>
        <v>7561.2310539869313</v>
      </c>
      <c r="AK7" s="851">
        <f t="shared" ref="AK7:AK14" si="8">AL7*$AK$4</f>
        <v>1260.2051756644887</v>
      </c>
      <c r="AL7" s="583">
        <f t="shared" ref="AL7:AL13" si="9">AH7*$AL$4</f>
        <v>6301.0258783224426</v>
      </c>
      <c r="AM7" s="851">
        <f>ROUND(AL7/$AM$4,0)</f>
        <v>131</v>
      </c>
      <c r="AN7" s="851">
        <f>SUM(AO7:AP7)</f>
        <v>5670.9232904901974</v>
      </c>
      <c r="AO7" s="851">
        <f t="shared" ref="AO7:AO14" si="10">AP7*$AO$4</f>
        <v>945.1538817483663</v>
      </c>
      <c r="AP7" s="583">
        <f t="shared" ref="AP7:AP14" si="11">AH7*$AP$4</f>
        <v>4725.7694087418313</v>
      </c>
      <c r="AQ7" s="851">
        <f>ROUND(AP7/$AQ$4,0)</f>
        <v>113</v>
      </c>
      <c r="AR7" s="851">
        <f>SUM(AJ7,AN7)</f>
        <v>13232.154344477129</v>
      </c>
      <c r="AS7" s="851">
        <f>SUM(AK7,AO7)</f>
        <v>2205.3590574128548</v>
      </c>
      <c r="AT7" s="854">
        <f>SUM(AL7,AP7)</f>
        <v>11026.795287064273</v>
      </c>
      <c r="AU7" s="881"/>
      <c r="AV7" s="1409">
        <f>AT7</f>
        <v>11026.795287064273</v>
      </c>
      <c r="AW7" s="583">
        <f>0</f>
        <v>0</v>
      </c>
      <c r="AX7" s="852">
        <f>AW7/$AW$6</f>
        <v>0</v>
      </c>
      <c r="AY7" s="1415">
        <f>SUM(AZ7:BA7)</f>
        <v>0</v>
      </c>
      <c r="AZ7" s="1415">
        <f>BA7*$AZ$4</f>
        <v>0</v>
      </c>
      <c r="BA7" s="1415">
        <f>AX7*$BA$5</f>
        <v>0</v>
      </c>
      <c r="BB7" s="1415">
        <v>0</v>
      </c>
      <c r="BC7" s="1415"/>
      <c r="BD7" s="1415"/>
      <c r="BE7" s="1415">
        <f>AX7*$BE$5</f>
        <v>0</v>
      </c>
      <c r="BF7" s="1415"/>
      <c r="BG7" s="1415"/>
      <c r="BH7" s="1415"/>
      <c r="BI7" s="1416"/>
      <c r="BK7" s="853">
        <f t="shared" ref="BK7:BK14" si="12">SUM(G7,K7,O7,S7,W7,AY7,BC7)</f>
        <v>106329.81169669119</v>
      </c>
      <c r="BL7" s="851">
        <f t="shared" ref="BL7:BL14" si="13">C7</f>
        <v>106329.81169669119</v>
      </c>
      <c r="BM7" s="851">
        <f>BL7-BK7</f>
        <v>0</v>
      </c>
      <c r="BN7" s="851">
        <f>BM7*$BN$4/(1+$BN$4)</f>
        <v>0</v>
      </c>
      <c r="BO7" s="851">
        <f>BM7-BN7</f>
        <v>0</v>
      </c>
      <c r="BP7" s="854">
        <f>ROUND(BO7/$BP$4,0)</f>
        <v>0</v>
      </c>
      <c r="BQ7" s="824"/>
      <c r="BR7" s="1402">
        <f t="shared" ref="BR7:BR14" si="14">AF7</f>
        <v>78762.823479030529</v>
      </c>
      <c r="BS7" s="1403">
        <f>SUM(BO7,BR7)</f>
        <v>78762.823479030529</v>
      </c>
      <c r="BT7" s="1403">
        <f>BA7</f>
        <v>0</v>
      </c>
      <c r="BU7" s="855">
        <f>BT7/BS7</f>
        <v>0</v>
      </c>
      <c r="BV7" s="1403">
        <f>BE7</f>
        <v>0</v>
      </c>
      <c r="BW7" s="856">
        <f>BV7/BS7</f>
        <v>0</v>
      </c>
    </row>
    <row r="8" spans="1:75">
      <c r="A8" s="872">
        <v>2</v>
      </c>
      <c r="B8" s="850">
        <f>'06_CARGAS'!B9</f>
        <v>15602.531511536001</v>
      </c>
      <c r="C8" s="850">
        <f>'07c_ATC_Ajustado'!M18</f>
        <v>181558.4005853156</v>
      </c>
      <c r="D8" s="850">
        <f t="shared" si="7"/>
        <v>181558.4005853156</v>
      </c>
      <c r="E8" s="585">
        <f t="shared" si="7"/>
        <v>32155.304753667955</v>
      </c>
      <c r="F8" s="585">
        <f t="shared" si="7"/>
        <v>149403.09583164763</v>
      </c>
      <c r="G8" s="851">
        <f>VLOOKUP(G2,'07c_ATC_Ajustado'!$L$19:$M$25,2)</f>
        <v>4234.8390656779975</v>
      </c>
      <c r="H8" s="851">
        <f t="shared" ref="H8:H14" si="15">G8*$H$4/(1+$H$4)</f>
        <v>977.27055361799944</v>
      </c>
      <c r="I8" s="583">
        <f t="shared" ref="I8:I14" si="16">G8-H8</f>
        <v>3257.5685120599983</v>
      </c>
      <c r="J8" s="851">
        <f t="shared" ref="J8:J14" si="17">ROUND(I8/$J$4,0)</f>
        <v>65</v>
      </c>
      <c r="K8" s="851">
        <f>VLOOKUP(K2,'07c_ATC_Ajustado'!$L$19:$M$25,2)</f>
        <v>17540.358625191864</v>
      </c>
      <c r="L8" s="851">
        <f t="shared" ref="L8:L14" si="18">K8*$L$4/(1+$L$4)</f>
        <v>4547.5003843090008</v>
      </c>
      <c r="M8" s="583">
        <f t="shared" ref="M8:M14" si="19">K8-L8</f>
        <v>12992.858240882862</v>
      </c>
      <c r="N8" s="851">
        <f t="shared" ref="N8:N14" si="20">ROUND(M8/$N$4,0)</f>
        <v>186</v>
      </c>
      <c r="O8" s="851">
        <f>VLOOKUP(O2,'07c_ATC_Ajustado'!$L$19:$M$25,2)</f>
        <v>0</v>
      </c>
      <c r="P8" s="851">
        <f t="shared" ref="P8:P14" si="21">O8*$P$4/(1+$P$4)</f>
        <v>0</v>
      </c>
      <c r="Q8" s="851">
        <f t="shared" ref="Q8:Q14" si="22">O8-P8</f>
        <v>0</v>
      </c>
      <c r="R8" s="851">
        <v>0</v>
      </c>
      <c r="S8" s="851">
        <f>VLOOKUP(S2,'07c_ATC_Ajustado'!$L$19:$M$25,2)</f>
        <v>0</v>
      </c>
      <c r="T8" s="851">
        <f t="shared" ref="T8:T14" si="23">S8*$T$4/(1+$T$4)</f>
        <v>0</v>
      </c>
      <c r="U8" s="583">
        <f t="shared" ref="U8:U14" si="24">S8-T8</f>
        <v>0</v>
      </c>
      <c r="V8" s="851">
        <f t="shared" ref="V8:V14" si="25">ROUND(U8/$V$4,0)</f>
        <v>0</v>
      </c>
      <c r="W8" s="851">
        <f>VLOOKUP(W2,'07c_ATC_Ajustado'!$L$19:$M$25,2)</f>
        <v>0</v>
      </c>
      <c r="X8" s="851">
        <f t="shared" ref="X8:X14" si="26">W8*$X$4/(1+$X$4)</f>
        <v>0</v>
      </c>
      <c r="Y8" s="851">
        <f t="shared" ref="Y8:Y14" si="27">W8-X8</f>
        <v>0</v>
      </c>
      <c r="Z8" s="851">
        <f t="shared" ref="Z8:Z14" si="28">ROUND(Y8/$Z$4,0)</f>
        <v>0</v>
      </c>
      <c r="AA8" s="851">
        <f>VLOOKUP(AA2,'07c_ATC_Ajustado'!$L$19:$M$25,2)</f>
        <v>139166.01542419466</v>
      </c>
      <c r="AB8" s="851">
        <f t="shared" ref="AB8:AB14" si="29">AA8*$AB$4/(1+$AB$4)</f>
        <v>23194.335904032447</v>
      </c>
      <c r="AC8" s="583">
        <f t="shared" ref="AC8:AC14" si="30">AA8-AB8</f>
        <v>115971.67952016222</v>
      </c>
      <c r="AD8" s="854">
        <f t="shared" ref="AD8:AD14" si="31">ROUND(AC8/$AD$4,0)</f>
        <v>1657</v>
      </c>
      <c r="AE8" s="881"/>
      <c r="AF8" s="1409">
        <f t="shared" ref="AF8:AF14" si="32">SUM(I8,M8,Q8,U8,Y8)</f>
        <v>16250.426752942862</v>
      </c>
      <c r="AG8" s="583">
        <f t="shared" ref="AG8:AG14" si="33">AC8</f>
        <v>115971.67952016222</v>
      </c>
      <c r="AH8" s="1468">
        <f t="shared" ref="AH8:AH14" si="34">SUM(AF8:AG8)</f>
        <v>132222.10627310508</v>
      </c>
      <c r="AI8" s="891"/>
      <c r="AJ8" s="853">
        <f t="shared" ref="AJ8:AJ14" si="35">SUM(AK8:AL8)</f>
        <v>12693.322202218087</v>
      </c>
      <c r="AK8" s="851">
        <f t="shared" si="8"/>
        <v>2115.5537003696813</v>
      </c>
      <c r="AL8" s="583">
        <f t="shared" si="9"/>
        <v>10577.768501848406</v>
      </c>
      <c r="AM8" s="851">
        <f t="shared" ref="AM8:AM14" si="36">ROUND(AL8/$AM$4,0)</f>
        <v>220</v>
      </c>
      <c r="AN8" s="851">
        <f t="shared" ref="AN8:AN14" si="37">SUM(AO8:AP8)</f>
        <v>9519.9916516635658</v>
      </c>
      <c r="AO8" s="851">
        <f t="shared" si="10"/>
        <v>1586.6652752772609</v>
      </c>
      <c r="AP8" s="583">
        <f t="shared" si="11"/>
        <v>7933.3263763863042</v>
      </c>
      <c r="AQ8" s="851">
        <f t="shared" ref="AQ8:AQ14" si="38">ROUND(AP8/$AQ$4,0)</f>
        <v>189</v>
      </c>
      <c r="AR8" s="851">
        <f t="shared" ref="AR8:AR14" si="39">SUM(AJ8,AN8)</f>
        <v>22213.313853881653</v>
      </c>
      <c r="AS8" s="851">
        <f t="shared" ref="AS8:AS14" si="40">SUM(AK8,AO8)</f>
        <v>3702.2189756469425</v>
      </c>
      <c r="AT8" s="854">
        <f t="shared" ref="AT8:AT14" si="41">SUM(AL8,AP8)</f>
        <v>18511.094878234711</v>
      </c>
      <c r="AU8" s="881"/>
      <c r="AV8" s="1409">
        <v>0</v>
      </c>
      <c r="AW8" s="583">
        <f>AT8</f>
        <v>18511.094878234711</v>
      </c>
      <c r="AX8" s="852">
        <f t="shared" ref="AX8:AX14" si="42">AW8/$AW$6</f>
        <v>0.14673398453756631</v>
      </c>
      <c r="AY8" s="1415">
        <f>SUM(AZ8:BA8)</f>
        <v>15071.849175257466</v>
      </c>
      <c r="AZ8" s="1415">
        <f>BA8*$AZ$4</f>
        <v>2511.9748625429111</v>
      </c>
      <c r="BA8" s="1415">
        <f t="shared" ref="BA8:BA14" si="43">AX8*$BA$5</f>
        <v>12559.874312714555</v>
      </c>
      <c r="BB8" s="1415">
        <f>ROUND(BA8/$BB$4,0)</f>
        <v>262</v>
      </c>
      <c r="BC8" s="1415">
        <f>SUM(BD8:BE8)</f>
        <v>11303.886881443101</v>
      </c>
      <c r="BD8" s="1415">
        <f>BE8*$BD$4</f>
        <v>1883.9811469071838</v>
      </c>
      <c r="BE8" s="1415">
        <f t="shared" ref="BE8:BE14" si="44">AX8*$BE$5</f>
        <v>9419.9057345359179</v>
      </c>
      <c r="BF8" s="1415">
        <f>ROUND(BE8/$BF$4,0)</f>
        <v>224</v>
      </c>
      <c r="BG8" s="1415">
        <f>SUM(AY8,BC8)</f>
        <v>26375.736056700567</v>
      </c>
      <c r="BH8" s="1415">
        <f>SUM(AZ8,BD8)</f>
        <v>4395.9560094500948</v>
      </c>
      <c r="BI8" s="1416">
        <f t="shared" ref="BI8:BI14" si="45">SUM(BA8,BE8)</f>
        <v>21979.780047250475</v>
      </c>
      <c r="BK8" s="853">
        <f t="shared" si="12"/>
        <v>48150.933747570438</v>
      </c>
      <c r="BL8" s="851">
        <f t="shared" si="13"/>
        <v>181558.4005853156</v>
      </c>
      <c r="BM8" s="851">
        <f t="shared" ref="BM8:BM14" si="46">BL8-BK8</f>
        <v>133407.46683774516</v>
      </c>
      <c r="BN8" s="851">
        <f t="shared" ref="BN8:BN14" si="47">BM8*$BN$4/(1+$BN$4)</f>
        <v>22234.577806290861</v>
      </c>
      <c r="BO8" s="851">
        <f t="shared" ref="BO8:BO14" si="48">BM8-BN8</f>
        <v>111172.8890314543</v>
      </c>
      <c r="BP8" s="854">
        <f t="shared" ref="BP8:BP14" si="49">ROUND(BO8/$BP$4,0)</f>
        <v>1588</v>
      </c>
      <c r="BQ8" s="824"/>
      <c r="BR8" s="1402">
        <f t="shared" si="14"/>
        <v>16250.426752942862</v>
      </c>
      <c r="BS8" s="1403">
        <f t="shared" ref="BS8:BS14" si="50">SUM(BO8,BR8)</f>
        <v>127423.31578439716</v>
      </c>
      <c r="BT8" s="1403">
        <f t="shared" ref="BT8:BT14" si="51">BA8</f>
        <v>12559.874312714555</v>
      </c>
      <c r="BU8" s="855">
        <f t="shared" ref="BU8:BU14" si="52">BT8/BS8</f>
        <v>9.8568101413764167E-2</v>
      </c>
      <c r="BV8" s="1403">
        <f t="shared" ref="BV8:BV14" si="53">BE8</f>
        <v>9419.9057345359179</v>
      </c>
      <c r="BW8" s="856">
        <f t="shared" ref="BW8:BW14" si="54">BV8/BS8</f>
        <v>7.3926076060323143E-2</v>
      </c>
    </row>
    <row r="9" spans="1:75">
      <c r="A9" s="872">
        <v>3</v>
      </c>
      <c r="B9" s="850">
        <f>'06_CARGAS'!B10</f>
        <v>19436.47454042</v>
      </c>
      <c r="C9" s="850">
        <f>'07c_ATC_Ajustado'!M27</f>
        <v>191032.84584160295</v>
      </c>
      <c r="D9" s="850">
        <f t="shared" si="7"/>
        <v>191032.84584160295</v>
      </c>
      <c r="E9" s="585">
        <f t="shared" si="7"/>
        <v>33870.070880317995</v>
      </c>
      <c r="F9" s="585">
        <f t="shared" si="7"/>
        <v>157162.77496128494</v>
      </c>
      <c r="G9" s="851">
        <f>VLOOKUP(G2,'07c_ATC_Ajustado'!$L$28:$M$34,2)</f>
        <v>3864.506853832504</v>
      </c>
      <c r="H9" s="851">
        <f t="shared" si="15"/>
        <v>891.809273961347</v>
      </c>
      <c r="I9" s="583">
        <f t="shared" si="16"/>
        <v>2972.6975798711569</v>
      </c>
      <c r="J9" s="851">
        <f t="shared" si="17"/>
        <v>59</v>
      </c>
      <c r="K9" s="851">
        <f>VLOOKUP(K2,'07c_ATC_Ajustado'!$L$28:$M$34,2)</f>
        <v>19262.215170664931</v>
      </c>
      <c r="L9" s="851">
        <f t="shared" si="18"/>
        <v>4993.9076368390561</v>
      </c>
      <c r="M9" s="583">
        <f t="shared" si="19"/>
        <v>14268.307533825875</v>
      </c>
      <c r="N9" s="851">
        <f t="shared" si="20"/>
        <v>204</v>
      </c>
      <c r="O9" s="851">
        <f>VLOOKUP(O2,'07c_ATC_Ajustado'!$L$28:$M$34,2)</f>
        <v>0</v>
      </c>
      <c r="P9" s="851">
        <f t="shared" si="21"/>
        <v>0</v>
      </c>
      <c r="Q9" s="851">
        <f t="shared" si="22"/>
        <v>0</v>
      </c>
      <c r="R9" s="851">
        <v>0</v>
      </c>
      <c r="S9" s="851">
        <f>VLOOKUP(S2,'07c_ATC_Ajustado'!$L$28:$M$34,2)</f>
        <v>0</v>
      </c>
      <c r="T9" s="851">
        <f t="shared" si="23"/>
        <v>0</v>
      </c>
      <c r="U9" s="583">
        <f t="shared" si="24"/>
        <v>0</v>
      </c>
      <c r="V9" s="851">
        <f t="shared" si="25"/>
        <v>0</v>
      </c>
      <c r="W9" s="851">
        <f>VLOOKUP(W2,'07c_ATC_Ajustado'!$L$28:$M$34,2)</f>
        <v>0</v>
      </c>
      <c r="X9" s="851">
        <f t="shared" si="26"/>
        <v>0</v>
      </c>
      <c r="Y9" s="851">
        <f t="shared" si="27"/>
        <v>0</v>
      </c>
      <c r="Z9" s="851">
        <f t="shared" si="28"/>
        <v>0</v>
      </c>
      <c r="AA9" s="851">
        <f>VLOOKUP(AA2,'07c_ATC_Ajustado'!$L$28:$M$34,2)</f>
        <v>146240.81751812415</v>
      </c>
      <c r="AB9" s="851">
        <f t="shared" si="29"/>
        <v>24373.469586354029</v>
      </c>
      <c r="AC9" s="583">
        <f t="shared" si="30"/>
        <v>121867.34793177013</v>
      </c>
      <c r="AD9" s="854">
        <f t="shared" si="31"/>
        <v>1741</v>
      </c>
      <c r="AE9" s="881"/>
      <c r="AF9" s="1409">
        <f t="shared" si="32"/>
        <v>17241.005113697032</v>
      </c>
      <c r="AG9" s="583">
        <f t="shared" si="33"/>
        <v>121867.34793177013</v>
      </c>
      <c r="AH9" s="1468">
        <f t="shared" si="34"/>
        <v>139108.35304546717</v>
      </c>
      <c r="AI9" s="891"/>
      <c r="AJ9" s="853">
        <f t="shared" si="35"/>
        <v>13354.401892364849</v>
      </c>
      <c r="AK9" s="851">
        <f t="shared" si="8"/>
        <v>2225.7336487274747</v>
      </c>
      <c r="AL9" s="583">
        <f t="shared" si="9"/>
        <v>11128.668243637374</v>
      </c>
      <c r="AM9" s="851">
        <f t="shared" si="36"/>
        <v>232</v>
      </c>
      <c r="AN9" s="851">
        <f t="shared" si="37"/>
        <v>10015.801419273637</v>
      </c>
      <c r="AO9" s="851">
        <f t="shared" si="10"/>
        <v>1669.3002365456061</v>
      </c>
      <c r="AP9" s="583">
        <f t="shared" si="11"/>
        <v>8346.5011827280305</v>
      </c>
      <c r="AQ9" s="851">
        <f t="shared" si="38"/>
        <v>199</v>
      </c>
      <c r="AR9" s="851">
        <f t="shared" si="39"/>
        <v>23370.203311638485</v>
      </c>
      <c r="AS9" s="851">
        <f t="shared" si="40"/>
        <v>3895.0338852730811</v>
      </c>
      <c r="AT9" s="854">
        <f t="shared" si="41"/>
        <v>19475.169426365406</v>
      </c>
      <c r="AU9" s="881"/>
      <c r="AV9" s="1409">
        <v>0</v>
      </c>
      <c r="AW9" s="583">
        <f t="shared" ref="AW9:AW13" si="55">AT9</f>
        <v>19475.169426365406</v>
      </c>
      <c r="AX9" s="852">
        <f t="shared" si="42"/>
        <v>0.1543760230430683</v>
      </c>
      <c r="AY9" s="1415">
        <f t="shared" ref="AY9:AY13" si="56">SUM(AZ9:BA9)</f>
        <v>15856.804699428814</v>
      </c>
      <c r="AZ9" s="1415">
        <f t="shared" ref="AZ9:AZ13" si="57">BA9*$AZ$4</f>
        <v>2642.8007832381359</v>
      </c>
      <c r="BA9" s="1415">
        <f t="shared" si="43"/>
        <v>13214.003916190679</v>
      </c>
      <c r="BB9" s="1415">
        <f t="shared" ref="BB9:BB13" si="58">ROUND(BA9/$BB$4,0)</f>
        <v>275</v>
      </c>
      <c r="BC9" s="1415">
        <f t="shared" ref="BC9:BC13" si="59">SUM(BD9:BE9)</f>
        <v>11892.603524571612</v>
      </c>
      <c r="BD9" s="1415">
        <f t="shared" ref="BD9:BD13" si="60">BE9*$BD$4</f>
        <v>1982.100587428602</v>
      </c>
      <c r="BE9" s="1415">
        <f t="shared" si="44"/>
        <v>9910.5029371430101</v>
      </c>
      <c r="BF9" s="1415">
        <f t="shared" ref="BF9:BF13" si="61">ROUND(BE9/$BF$4,0)</f>
        <v>236</v>
      </c>
      <c r="BG9" s="1415">
        <f t="shared" ref="BG9:BG13" si="62">SUM(AY9,BC9)</f>
        <v>27749.408224000428</v>
      </c>
      <c r="BH9" s="1415">
        <f t="shared" ref="BH9:BH14" si="63">SUM(AZ9,BD9)</f>
        <v>4624.9013706667374</v>
      </c>
      <c r="BI9" s="1416">
        <f t="shared" si="45"/>
        <v>23124.506853333689</v>
      </c>
      <c r="BK9" s="853">
        <f t="shared" si="12"/>
        <v>50876.130248497859</v>
      </c>
      <c r="BL9" s="851">
        <f t="shared" si="13"/>
        <v>191032.84584160295</v>
      </c>
      <c r="BM9" s="851">
        <f t="shared" si="46"/>
        <v>140156.71559310509</v>
      </c>
      <c r="BN9" s="851">
        <f t="shared" si="47"/>
        <v>23359.452598850854</v>
      </c>
      <c r="BO9" s="851">
        <f t="shared" si="48"/>
        <v>116797.26299425424</v>
      </c>
      <c r="BP9" s="854">
        <f t="shared" si="49"/>
        <v>1669</v>
      </c>
      <c r="BQ9" s="824"/>
      <c r="BR9" s="1402">
        <f t="shared" si="14"/>
        <v>17241.005113697032</v>
      </c>
      <c r="BS9" s="1403">
        <f t="shared" si="50"/>
        <v>134038.26810795127</v>
      </c>
      <c r="BT9" s="1403">
        <f t="shared" si="51"/>
        <v>13214.003916190679</v>
      </c>
      <c r="BU9" s="855">
        <f t="shared" si="52"/>
        <v>9.8583815672315542E-2</v>
      </c>
      <c r="BV9" s="1403">
        <f t="shared" si="53"/>
        <v>9910.5029371430101</v>
      </c>
      <c r="BW9" s="856">
        <f t="shared" si="54"/>
        <v>7.3937861754236667E-2</v>
      </c>
    </row>
    <row r="10" spans="1:75">
      <c r="A10" s="872">
        <v>4</v>
      </c>
      <c r="B10" s="850">
        <f>'06_CARGAS'!B11</f>
        <v>25621.213912839001</v>
      </c>
      <c r="C10" s="850">
        <f>'07c_ATC_Ajustado'!M36</f>
        <v>274010.04051007587</v>
      </c>
      <c r="D10" s="850">
        <f t="shared" si="7"/>
        <v>274010.04051007587</v>
      </c>
      <c r="E10" s="585">
        <f t="shared" si="7"/>
        <v>49079.765308174552</v>
      </c>
      <c r="F10" s="585">
        <f t="shared" si="7"/>
        <v>224930.2752019013</v>
      </c>
      <c r="G10" s="851">
        <f>VLOOKUP(G2,'07c_ATC_Ajustado'!$L$37:$M$43,2)</f>
        <v>5637.8840491621941</v>
      </c>
      <c r="H10" s="851">
        <f t="shared" si="15"/>
        <v>1301.0501651912755</v>
      </c>
      <c r="I10" s="583">
        <f t="shared" si="16"/>
        <v>4336.8338839709186</v>
      </c>
      <c r="J10" s="851">
        <f t="shared" si="17"/>
        <v>87</v>
      </c>
      <c r="K10" s="851">
        <f>VLOOKUP(K2,'07c_ATC_Ajustado'!$L$37:$M$43,2)</f>
        <v>23152.346346552051</v>
      </c>
      <c r="L10" s="851">
        <f t="shared" si="18"/>
        <v>6002.4601639209013</v>
      </c>
      <c r="M10" s="583">
        <f t="shared" si="19"/>
        <v>17149.886182631148</v>
      </c>
      <c r="N10" s="851">
        <f t="shared" si="20"/>
        <v>245</v>
      </c>
      <c r="O10" s="851">
        <f>VLOOKUP(O2,'07c_ATC_Ajustado'!$L$37:$M$43,2)</f>
        <v>5437.7197600126192</v>
      </c>
      <c r="P10" s="851">
        <f t="shared" si="21"/>
        <v>1812.5732533375397</v>
      </c>
      <c r="Q10" s="851">
        <f t="shared" si="22"/>
        <v>3625.1465066750798</v>
      </c>
      <c r="R10" s="851">
        <v>1</v>
      </c>
      <c r="S10" s="851">
        <f>VLOOKUP(S2,'07c_ATC_Ajustado'!$L$37:$M$43,2)</f>
        <v>0</v>
      </c>
      <c r="T10" s="851">
        <f t="shared" si="23"/>
        <v>0</v>
      </c>
      <c r="U10" s="583">
        <f t="shared" si="24"/>
        <v>0</v>
      </c>
      <c r="V10" s="851">
        <f t="shared" si="25"/>
        <v>0</v>
      </c>
      <c r="W10" s="851">
        <f>VLOOKUP(W2,'07c_ATC_Ajustado'!$L$37:$M$43,2)</f>
        <v>0</v>
      </c>
      <c r="X10" s="851">
        <f t="shared" si="26"/>
        <v>0</v>
      </c>
      <c r="Y10" s="851">
        <f t="shared" si="27"/>
        <v>0</v>
      </c>
      <c r="Z10" s="851">
        <f t="shared" si="28"/>
        <v>0</v>
      </c>
      <c r="AA10" s="851">
        <f>VLOOKUP(AA2,'07c_ATC_Ajustado'!$L$37:$M$43,2)</f>
        <v>208842.46579249753</v>
      </c>
      <c r="AB10" s="851">
        <f t="shared" si="29"/>
        <v>34807.077632082925</v>
      </c>
      <c r="AC10" s="583">
        <f t="shared" si="30"/>
        <v>174035.38816041462</v>
      </c>
      <c r="AD10" s="854">
        <f t="shared" si="31"/>
        <v>2486</v>
      </c>
      <c r="AE10" s="881"/>
      <c r="AF10" s="1409">
        <f t="shared" si="32"/>
        <v>25111.866573277144</v>
      </c>
      <c r="AG10" s="583">
        <f t="shared" si="33"/>
        <v>174035.38816041462</v>
      </c>
      <c r="AH10" s="1468">
        <f t="shared" si="34"/>
        <v>199147.25473369175</v>
      </c>
      <c r="AI10" s="891"/>
      <c r="AJ10" s="853">
        <f t="shared" si="35"/>
        <v>19118.136454434411</v>
      </c>
      <c r="AK10" s="851">
        <f t="shared" si="8"/>
        <v>3186.3560757390683</v>
      </c>
      <c r="AL10" s="583">
        <f t="shared" si="9"/>
        <v>15931.780378695341</v>
      </c>
      <c r="AM10" s="851">
        <f t="shared" si="36"/>
        <v>332</v>
      </c>
      <c r="AN10" s="851">
        <f t="shared" si="37"/>
        <v>14338.602340825806</v>
      </c>
      <c r="AO10" s="851">
        <f t="shared" si="10"/>
        <v>2389.7670568043009</v>
      </c>
      <c r="AP10" s="583">
        <f t="shared" si="11"/>
        <v>11948.835284021505</v>
      </c>
      <c r="AQ10" s="851">
        <f t="shared" si="38"/>
        <v>284</v>
      </c>
      <c r="AR10" s="851">
        <f t="shared" si="39"/>
        <v>33456.738795260215</v>
      </c>
      <c r="AS10" s="851">
        <f t="shared" si="40"/>
        <v>5576.1231325433691</v>
      </c>
      <c r="AT10" s="854">
        <f t="shared" si="41"/>
        <v>27880.615662716846</v>
      </c>
      <c r="AU10" s="881"/>
      <c r="AV10" s="1409">
        <v>0</v>
      </c>
      <c r="AW10" s="583">
        <f t="shared" si="55"/>
        <v>27880.615662716846</v>
      </c>
      <c r="AX10" s="852">
        <f t="shared" si="42"/>
        <v>0.2210044221836466</v>
      </c>
      <c r="AY10" s="1415">
        <f t="shared" si="56"/>
        <v>22700.571573206824</v>
      </c>
      <c r="AZ10" s="1415">
        <f t="shared" si="57"/>
        <v>3783.4285955344708</v>
      </c>
      <c r="BA10" s="1415">
        <f t="shared" si="43"/>
        <v>18917.142977672353</v>
      </c>
      <c r="BB10" s="1415">
        <f t="shared" si="58"/>
        <v>394</v>
      </c>
      <c r="BC10" s="1415">
        <f t="shared" si="59"/>
        <v>17025.428679905119</v>
      </c>
      <c r="BD10" s="1415">
        <f t="shared" si="60"/>
        <v>2837.571446650853</v>
      </c>
      <c r="BE10" s="1415">
        <f t="shared" si="44"/>
        <v>14187.857233254264</v>
      </c>
      <c r="BF10" s="1415">
        <f t="shared" si="61"/>
        <v>338</v>
      </c>
      <c r="BG10" s="1415">
        <f t="shared" si="62"/>
        <v>39726.000253111939</v>
      </c>
      <c r="BH10" s="1415">
        <f t="shared" si="63"/>
        <v>6621.0000421853238</v>
      </c>
      <c r="BI10" s="1416">
        <f t="shared" si="45"/>
        <v>33105.000210926621</v>
      </c>
      <c r="BK10" s="853">
        <f t="shared" si="12"/>
        <v>73953.950408838806</v>
      </c>
      <c r="BL10" s="851">
        <f t="shared" si="13"/>
        <v>274010.04051007587</v>
      </c>
      <c r="BM10" s="851">
        <f t="shared" si="46"/>
        <v>200056.09010123706</v>
      </c>
      <c r="BN10" s="851">
        <f t="shared" si="47"/>
        <v>33342.681683539515</v>
      </c>
      <c r="BO10" s="851">
        <f t="shared" si="48"/>
        <v>166713.40841769753</v>
      </c>
      <c r="BP10" s="854">
        <f t="shared" si="49"/>
        <v>2382</v>
      </c>
      <c r="BQ10" s="824"/>
      <c r="BR10" s="1402">
        <f t="shared" si="14"/>
        <v>25111.866573277144</v>
      </c>
      <c r="BS10" s="1403">
        <f t="shared" si="50"/>
        <v>191825.27499097466</v>
      </c>
      <c r="BT10" s="1403">
        <f t="shared" si="51"/>
        <v>18917.142977672353</v>
      </c>
      <c r="BU10" s="855">
        <f t="shared" si="52"/>
        <v>9.8616529957078911E-2</v>
      </c>
      <c r="BV10" s="1403">
        <f t="shared" si="53"/>
        <v>14187.857233254264</v>
      </c>
      <c r="BW10" s="856">
        <f t="shared" si="54"/>
        <v>7.3962397467809179E-2</v>
      </c>
    </row>
    <row r="11" spans="1:75">
      <c r="A11" s="872">
        <v>5</v>
      </c>
      <c r="B11" s="850">
        <f>'06_CARGAS'!B12</f>
        <v>27038.024665190002</v>
      </c>
      <c r="C11" s="850">
        <f>'07c_ATC_Ajustado'!M45</f>
        <v>213243.93603916175</v>
      </c>
      <c r="D11" s="850">
        <f t="shared" si="7"/>
        <v>213243.93603916175</v>
      </c>
      <c r="E11" s="585">
        <f t="shared" si="7"/>
        <v>37752.253660450035</v>
      </c>
      <c r="F11" s="585">
        <f t="shared" si="7"/>
        <v>175491.68237871173</v>
      </c>
      <c r="G11" s="851">
        <f>VLOOKUP(G2,'07c_ATC_Ajustado'!$L$46:$M$52,2)</f>
        <v>5374.6842221436582</v>
      </c>
      <c r="H11" s="851">
        <f t="shared" si="15"/>
        <v>1240.3117435716133</v>
      </c>
      <c r="I11" s="583">
        <f t="shared" si="16"/>
        <v>4134.3724785720451</v>
      </c>
      <c r="J11" s="851">
        <f t="shared" si="17"/>
        <v>83</v>
      </c>
      <c r="K11" s="851">
        <f>VLOOKUP(K2,'07c_ATC_Ajustado'!$L$46:$M$52,2)</f>
        <v>20164.319431654327</v>
      </c>
      <c r="L11" s="851">
        <f t="shared" si="18"/>
        <v>5227.7865193177877</v>
      </c>
      <c r="M11" s="583">
        <f t="shared" si="19"/>
        <v>14936.532912336539</v>
      </c>
      <c r="N11" s="851">
        <f t="shared" si="20"/>
        <v>213</v>
      </c>
      <c r="O11" s="851">
        <f>VLOOKUP(O2,'07c_ATC_Ajustado'!$L$46:$M$52,2)</f>
        <v>0</v>
      </c>
      <c r="P11" s="851">
        <f t="shared" si="21"/>
        <v>0</v>
      </c>
      <c r="Q11" s="851">
        <f t="shared" si="22"/>
        <v>0</v>
      </c>
      <c r="R11" s="851">
        <v>0</v>
      </c>
      <c r="S11" s="851">
        <f>VLOOKUP(S2,'07c_ATC_Ajustado'!$L$46:$M$52,2)</f>
        <v>0</v>
      </c>
      <c r="T11" s="851">
        <f t="shared" si="23"/>
        <v>0</v>
      </c>
      <c r="U11" s="583">
        <f t="shared" si="24"/>
        <v>0</v>
      </c>
      <c r="V11" s="851">
        <f t="shared" si="25"/>
        <v>0</v>
      </c>
      <c r="W11" s="851">
        <f>VLOOKUP(W2,'07c_ATC_Ajustado'!$L$46:$M$52,2)</f>
        <v>0</v>
      </c>
      <c r="X11" s="851">
        <f t="shared" si="26"/>
        <v>0</v>
      </c>
      <c r="Y11" s="851">
        <f t="shared" si="27"/>
        <v>0</v>
      </c>
      <c r="Z11" s="851">
        <f t="shared" si="28"/>
        <v>0</v>
      </c>
      <c r="AA11" s="851">
        <f>VLOOKUP(AA2,'07c_ATC_Ajustado'!$L$46:$M$52,2)</f>
        <v>163484.94110983296</v>
      </c>
      <c r="AB11" s="851">
        <f t="shared" si="29"/>
        <v>27247.490184972161</v>
      </c>
      <c r="AC11" s="583">
        <f t="shared" si="30"/>
        <v>136237.45092486081</v>
      </c>
      <c r="AD11" s="854">
        <f t="shared" si="31"/>
        <v>1946</v>
      </c>
      <c r="AE11" s="881"/>
      <c r="AF11" s="1409">
        <f t="shared" si="32"/>
        <v>19070.905390908585</v>
      </c>
      <c r="AG11" s="583">
        <f t="shared" si="33"/>
        <v>136237.45092486081</v>
      </c>
      <c r="AH11" s="1468">
        <f t="shared" si="34"/>
        <v>155308.3563157694</v>
      </c>
      <c r="AI11" s="891"/>
      <c r="AJ11" s="853">
        <f t="shared" si="35"/>
        <v>14909.602206313863</v>
      </c>
      <c r="AK11" s="851">
        <f t="shared" si="8"/>
        <v>2484.9337010523104</v>
      </c>
      <c r="AL11" s="583">
        <f t="shared" si="9"/>
        <v>12424.668505261552</v>
      </c>
      <c r="AM11" s="851">
        <f t="shared" si="36"/>
        <v>259</v>
      </c>
      <c r="AN11" s="851">
        <f t="shared" si="37"/>
        <v>11182.201654735398</v>
      </c>
      <c r="AO11" s="851">
        <f t="shared" si="10"/>
        <v>1863.700275789233</v>
      </c>
      <c r="AP11" s="583">
        <f t="shared" si="11"/>
        <v>9318.5013789461646</v>
      </c>
      <c r="AQ11" s="851">
        <f t="shared" si="38"/>
        <v>222</v>
      </c>
      <c r="AR11" s="851">
        <f t="shared" si="39"/>
        <v>26091.803861049259</v>
      </c>
      <c r="AS11" s="851">
        <f t="shared" si="40"/>
        <v>4348.6339768415437</v>
      </c>
      <c r="AT11" s="854">
        <f t="shared" si="41"/>
        <v>21743.169884207717</v>
      </c>
      <c r="AU11" s="881"/>
      <c r="AV11" s="1409">
        <v>0</v>
      </c>
      <c r="AW11" s="583">
        <f t="shared" si="55"/>
        <v>21743.169884207717</v>
      </c>
      <c r="AX11" s="852">
        <f t="shared" si="42"/>
        <v>0.17235403819027192</v>
      </c>
      <c r="AY11" s="1415">
        <f t="shared" si="56"/>
        <v>17703.424851011878</v>
      </c>
      <c r="AZ11" s="1415">
        <f t="shared" si="57"/>
        <v>2950.5708085019796</v>
      </c>
      <c r="BA11" s="1415">
        <f t="shared" si="43"/>
        <v>14752.854042509896</v>
      </c>
      <c r="BB11" s="1415">
        <f t="shared" si="58"/>
        <v>307</v>
      </c>
      <c r="BC11" s="1415">
        <f t="shared" si="59"/>
        <v>13277.568638258908</v>
      </c>
      <c r="BD11" s="1415">
        <f t="shared" si="60"/>
        <v>2212.9281063764847</v>
      </c>
      <c r="BE11" s="1415">
        <f t="shared" si="44"/>
        <v>11064.640531882424</v>
      </c>
      <c r="BF11" s="1415">
        <f t="shared" si="61"/>
        <v>263</v>
      </c>
      <c r="BG11" s="1415">
        <f t="shared" si="62"/>
        <v>30980.993489270786</v>
      </c>
      <c r="BH11" s="1415">
        <f t="shared" si="63"/>
        <v>5163.4989148784643</v>
      </c>
      <c r="BI11" s="1416">
        <f t="shared" si="45"/>
        <v>25817.49457439232</v>
      </c>
      <c r="BK11" s="853">
        <f t="shared" si="12"/>
        <v>56519.997143068773</v>
      </c>
      <c r="BL11" s="851">
        <f t="shared" si="13"/>
        <v>213243.93603916175</v>
      </c>
      <c r="BM11" s="851">
        <f t="shared" si="46"/>
        <v>156723.93889609299</v>
      </c>
      <c r="BN11" s="851">
        <f t="shared" si="47"/>
        <v>26120.656482682167</v>
      </c>
      <c r="BO11" s="851">
        <f t="shared" si="48"/>
        <v>130603.28241341082</v>
      </c>
      <c r="BP11" s="854">
        <f t="shared" si="49"/>
        <v>1866</v>
      </c>
      <c r="BQ11" s="824"/>
      <c r="BR11" s="1402">
        <f t="shared" si="14"/>
        <v>19070.905390908585</v>
      </c>
      <c r="BS11" s="1403">
        <f t="shared" si="50"/>
        <v>149674.1878043194</v>
      </c>
      <c r="BT11" s="1403">
        <f t="shared" si="51"/>
        <v>14752.854042509896</v>
      </c>
      <c r="BU11" s="855">
        <f t="shared" si="52"/>
        <v>9.856645463677037E-2</v>
      </c>
      <c r="BV11" s="1403">
        <f t="shared" si="53"/>
        <v>11064.640531882424</v>
      </c>
      <c r="BW11" s="856">
        <f t="shared" si="54"/>
        <v>7.3924840977577788E-2</v>
      </c>
    </row>
    <row r="12" spans="1:75">
      <c r="A12" s="872">
        <v>6</v>
      </c>
      <c r="B12" s="850">
        <f>'06_CARGAS'!B13</f>
        <v>21089.89942655</v>
      </c>
      <c r="C12" s="850">
        <f>'07c_ATC_Ajustado'!M54</f>
        <v>225771.89281067142</v>
      </c>
      <c r="D12" s="850">
        <f t="shared" si="7"/>
        <v>225771.89281067142</v>
      </c>
      <c r="E12" s="585">
        <f t="shared" si="7"/>
        <v>40074.776737422071</v>
      </c>
      <c r="F12" s="585">
        <f t="shared" si="7"/>
        <v>185697.11607324937</v>
      </c>
      <c r="G12" s="851">
        <f>VLOOKUP(G2,'07c_ATC_Ajustado'!$L$55:$M$61,2)</f>
        <v>6167.9990278294008</v>
      </c>
      <c r="H12" s="851">
        <f t="shared" si="15"/>
        <v>1423.384391037554</v>
      </c>
      <c r="I12" s="583">
        <f t="shared" si="16"/>
        <v>4744.6146367918464</v>
      </c>
      <c r="J12" s="851">
        <f t="shared" si="17"/>
        <v>95</v>
      </c>
      <c r="K12" s="851">
        <f>VLOOKUP(K2,'07c_ATC_Ajustado'!$L$55:$M$61,2)</f>
        <v>22148.028531837121</v>
      </c>
      <c r="L12" s="851">
        <f t="shared" si="18"/>
        <v>5742.0814712170304</v>
      </c>
      <c r="M12" s="583">
        <f t="shared" si="19"/>
        <v>16405.947060620092</v>
      </c>
      <c r="N12" s="851">
        <f t="shared" si="20"/>
        <v>234</v>
      </c>
      <c r="O12" s="851">
        <f>VLOOKUP(O2,'07c_ATC_Ajustado'!$L$55:$M$61,2)</f>
        <v>0</v>
      </c>
      <c r="P12" s="851">
        <f t="shared" si="21"/>
        <v>0</v>
      </c>
      <c r="Q12" s="851">
        <f t="shared" si="22"/>
        <v>0</v>
      </c>
      <c r="R12" s="851">
        <v>0</v>
      </c>
      <c r="S12" s="851">
        <f>VLOOKUP(S2,'07c_ATC_Ajustado'!$L$55:$M$61,2)</f>
        <v>0</v>
      </c>
      <c r="T12" s="851">
        <f t="shared" si="23"/>
        <v>0</v>
      </c>
      <c r="U12" s="583">
        <f t="shared" si="24"/>
        <v>0</v>
      </c>
      <c r="V12" s="851">
        <f t="shared" si="25"/>
        <v>0</v>
      </c>
      <c r="W12" s="851">
        <f>VLOOKUP(W2,'07c_ATC_Ajustado'!$L$55:$M$61,2)</f>
        <v>0</v>
      </c>
      <c r="X12" s="851">
        <f t="shared" si="26"/>
        <v>0</v>
      </c>
      <c r="Y12" s="851">
        <f t="shared" si="27"/>
        <v>0</v>
      </c>
      <c r="Z12" s="851">
        <f t="shared" si="28"/>
        <v>0</v>
      </c>
      <c r="AA12" s="851">
        <f>VLOOKUP(AA2,'07c_ATC_Ajustado'!$L$55:$M$61,2)</f>
        <v>171977.68908958489</v>
      </c>
      <c r="AB12" s="851">
        <f t="shared" si="29"/>
        <v>28662.948181597483</v>
      </c>
      <c r="AC12" s="583">
        <f t="shared" si="30"/>
        <v>143314.74090798741</v>
      </c>
      <c r="AD12" s="854">
        <f t="shared" si="31"/>
        <v>2047</v>
      </c>
      <c r="AE12" s="881"/>
      <c r="AF12" s="1409">
        <f t="shared" si="32"/>
        <v>21150.56169741194</v>
      </c>
      <c r="AG12" s="583">
        <f t="shared" si="33"/>
        <v>143314.74090798741</v>
      </c>
      <c r="AH12" s="1468">
        <f t="shared" si="34"/>
        <v>164465.30260539934</v>
      </c>
      <c r="AI12" s="891"/>
      <c r="AJ12" s="853">
        <f t="shared" si="35"/>
        <v>15788.669050118337</v>
      </c>
      <c r="AK12" s="851">
        <f t="shared" si="8"/>
        <v>2631.4448416863897</v>
      </c>
      <c r="AL12" s="583">
        <f t="shared" si="9"/>
        <v>13157.224208431948</v>
      </c>
      <c r="AM12" s="851">
        <f t="shared" si="36"/>
        <v>274</v>
      </c>
      <c r="AN12" s="851">
        <f t="shared" si="37"/>
        <v>11841.501787588752</v>
      </c>
      <c r="AO12" s="851">
        <f t="shared" si="10"/>
        <v>1973.5836312647921</v>
      </c>
      <c r="AP12" s="583">
        <f t="shared" si="11"/>
        <v>9867.9181563239599</v>
      </c>
      <c r="AQ12" s="851">
        <f t="shared" si="38"/>
        <v>235</v>
      </c>
      <c r="AR12" s="851">
        <f t="shared" si="39"/>
        <v>27630.17083770709</v>
      </c>
      <c r="AS12" s="851">
        <f t="shared" si="40"/>
        <v>4605.0284729511823</v>
      </c>
      <c r="AT12" s="854">
        <f t="shared" si="41"/>
        <v>23025.142364755906</v>
      </c>
      <c r="AU12" s="881"/>
      <c r="AV12" s="1409">
        <v>0</v>
      </c>
      <c r="AW12" s="583">
        <f t="shared" si="55"/>
        <v>23025.142364755906</v>
      </c>
      <c r="AX12" s="852">
        <f t="shared" si="42"/>
        <v>0.18251599410782932</v>
      </c>
      <c r="AY12" s="1415">
        <f t="shared" si="56"/>
        <v>18747.214859152962</v>
      </c>
      <c r="AZ12" s="1415">
        <f t="shared" si="57"/>
        <v>3124.5358098588272</v>
      </c>
      <c r="BA12" s="1415">
        <f t="shared" si="43"/>
        <v>15622.679049294135</v>
      </c>
      <c r="BB12" s="1415">
        <f t="shared" si="58"/>
        <v>325</v>
      </c>
      <c r="BC12" s="1415">
        <f t="shared" si="59"/>
        <v>14060.411144364723</v>
      </c>
      <c r="BD12" s="1415">
        <f t="shared" si="60"/>
        <v>2343.4018573941207</v>
      </c>
      <c r="BE12" s="1415">
        <f t="shared" si="44"/>
        <v>11717.009286970602</v>
      </c>
      <c r="BF12" s="1415">
        <f t="shared" si="61"/>
        <v>279</v>
      </c>
      <c r="BG12" s="1415">
        <f t="shared" si="62"/>
        <v>32807.626003517682</v>
      </c>
      <c r="BH12" s="1415">
        <f t="shared" si="63"/>
        <v>5467.9376672529479</v>
      </c>
      <c r="BI12" s="1416">
        <f t="shared" si="45"/>
        <v>27339.688336264735</v>
      </c>
      <c r="BK12" s="853">
        <f t="shared" si="12"/>
        <v>61123.653563184213</v>
      </c>
      <c r="BL12" s="851">
        <f t="shared" si="13"/>
        <v>225771.89281067142</v>
      </c>
      <c r="BM12" s="851">
        <f t="shared" si="46"/>
        <v>164648.23924748722</v>
      </c>
      <c r="BN12" s="851">
        <f t="shared" si="47"/>
        <v>27441.373207914537</v>
      </c>
      <c r="BO12" s="851">
        <f t="shared" si="48"/>
        <v>137206.86603957269</v>
      </c>
      <c r="BP12" s="854">
        <f t="shared" si="49"/>
        <v>1960</v>
      </c>
      <c r="BQ12" s="824"/>
      <c r="BR12" s="1402">
        <f t="shared" si="14"/>
        <v>21150.56169741194</v>
      </c>
      <c r="BS12" s="1403">
        <f t="shared" si="50"/>
        <v>158357.42773698462</v>
      </c>
      <c r="BT12" s="1403">
        <f t="shared" si="51"/>
        <v>15622.679049294135</v>
      </c>
      <c r="BU12" s="855">
        <f t="shared" si="52"/>
        <v>9.8654539117936382E-2</v>
      </c>
      <c r="BV12" s="1403">
        <f t="shared" si="53"/>
        <v>11717.009286970602</v>
      </c>
      <c r="BW12" s="856">
        <f t="shared" si="54"/>
        <v>7.3990904338452304E-2</v>
      </c>
    </row>
    <row r="13" spans="1:75">
      <c r="A13" s="872">
        <v>7</v>
      </c>
      <c r="B13" s="850">
        <f>'06_CARGAS'!B14</f>
        <v>23967.619699999999</v>
      </c>
      <c r="C13" s="850">
        <f>'07c_ATC_Ajustado'!M63</f>
        <v>151682.70221379091</v>
      </c>
      <c r="D13" s="850">
        <f t="shared" si="7"/>
        <v>151682.70221379091</v>
      </c>
      <c r="E13" s="585">
        <f t="shared" si="7"/>
        <v>27331.84406417084</v>
      </c>
      <c r="F13" s="585">
        <f t="shared" si="7"/>
        <v>124350.85814962009</v>
      </c>
      <c r="G13" s="851">
        <f>VLOOKUP(G2,'07c_ATC_Ajustado'!$L$64:$M$70,2)</f>
        <v>12883.164205528557</v>
      </c>
      <c r="H13" s="851">
        <f t="shared" si="15"/>
        <v>2973.0378935835129</v>
      </c>
      <c r="I13" s="583">
        <f t="shared" si="16"/>
        <v>9910.126311945045</v>
      </c>
      <c r="J13" s="851">
        <f t="shared" si="17"/>
        <v>198</v>
      </c>
      <c r="K13" s="851">
        <f>VLOOKUP(K2,'07c_ATC_Ajustado'!$L$64:$M$70,2)</f>
        <v>13235.938227470848</v>
      </c>
      <c r="L13" s="851">
        <f t="shared" si="18"/>
        <v>3431.5395404554042</v>
      </c>
      <c r="M13" s="583">
        <f t="shared" si="19"/>
        <v>9804.398687015444</v>
      </c>
      <c r="N13" s="851">
        <f t="shared" si="20"/>
        <v>140</v>
      </c>
      <c r="O13" s="851">
        <f>VLOOKUP(O2,'07c_ATC_Ajustado'!$L$64:$M$70,2)</f>
        <v>0</v>
      </c>
      <c r="P13" s="851">
        <f t="shared" si="21"/>
        <v>0</v>
      </c>
      <c r="Q13" s="851">
        <f t="shared" si="22"/>
        <v>0</v>
      </c>
      <c r="R13" s="851">
        <v>0</v>
      </c>
      <c r="S13" s="851">
        <f>VLOOKUP(S2,'07c_ATC_Ajustado'!$L$64:$M$70,2)</f>
        <v>0</v>
      </c>
      <c r="T13" s="851">
        <f t="shared" si="23"/>
        <v>0</v>
      </c>
      <c r="U13" s="583">
        <f t="shared" si="24"/>
        <v>0</v>
      </c>
      <c r="V13" s="851">
        <f t="shared" si="25"/>
        <v>0</v>
      </c>
      <c r="W13" s="851">
        <f>VLOOKUP(W2,'07c_ATC_Ajustado'!$L$64:$M$70,2)</f>
        <v>0</v>
      </c>
      <c r="X13" s="851">
        <f t="shared" si="26"/>
        <v>0</v>
      </c>
      <c r="Y13" s="851">
        <f t="shared" si="27"/>
        <v>0</v>
      </c>
      <c r="Z13" s="851">
        <f t="shared" si="28"/>
        <v>0</v>
      </c>
      <c r="AA13" s="851">
        <f>VLOOKUP(AA2,'07c_ATC_Ajustado'!$L$64:$M$70,2)</f>
        <v>109361.84497036679</v>
      </c>
      <c r="AB13" s="851">
        <f t="shared" si="29"/>
        <v>18226.974161727801</v>
      </c>
      <c r="AC13" s="583">
        <f t="shared" si="30"/>
        <v>91134.870808638982</v>
      </c>
      <c r="AD13" s="854">
        <f t="shared" si="31"/>
        <v>1302</v>
      </c>
      <c r="AE13" s="881"/>
      <c r="AF13" s="1409">
        <f t="shared" si="32"/>
        <v>19714.524998960489</v>
      </c>
      <c r="AG13" s="583">
        <f t="shared" si="33"/>
        <v>91134.870808638982</v>
      </c>
      <c r="AH13" s="1468">
        <f t="shared" si="34"/>
        <v>110849.39580759947</v>
      </c>
      <c r="AI13" s="891"/>
      <c r="AJ13" s="853">
        <f t="shared" si="35"/>
        <v>10641.541997529548</v>
      </c>
      <c r="AK13" s="851">
        <f t="shared" si="8"/>
        <v>1773.5903329215917</v>
      </c>
      <c r="AL13" s="583">
        <f t="shared" si="9"/>
        <v>8867.9516646079574</v>
      </c>
      <c r="AM13" s="851">
        <f t="shared" si="36"/>
        <v>185</v>
      </c>
      <c r="AN13" s="851">
        <f t="shared" si="37"/>
        <v>7981.156498147162</v>
      </c>
      <c r="AO13" s="851">
        <f t="shared" si="10"/>
        <v>1330.1927496911937</v>
      </c>
      <c r="AP13" s="583">
        <f t="shared" si="11"/>
        <v>6650.963748455968</v>
      </c>
      <c r="AQ13" s="851">
        <f t="shared" si="38"/>
        <v>158</v>
      </c>
      <c r="AR13" s="851">
        <f t="shared" si="39"/>
        <v>18622.698495676712</v>
      </c>
      <c r="AS13" s="851">
        <f t="shared" si="40"/>
        <v>3103.7830826127856</v>
      </c>
      <c r="AT13" s="854">
        <f t="shared" si="41"/>
        <v>15518.915413063925</v>
      </c>
      <c r="AU13" s="881"/>
      <c r="AV13" s="1409">
        <v>0</v>
      </c>
      <c r="AW13" s="583">
        <f t="shared" si="55"/>
        <v>15518.915413063925</v>
      </c>
      <c r="AX13" s="852">
        <f t="shared" si="42"/>
        <v>0.12301553793761762</v>
      </c>
      <c r="AY13" s="1415">
        <f t="shared" si="56"/>
        <v>12635.597948573821</v>
      </c>
      <c r="AZ13" s="1415">
        <f t="shared" si="57"/>
        <v>2105.9329914289701</v>
      </c>
      <c r="BA13" s="1415">
        <f t="shared" si="43"/>
        <v>10529.664957144851</v>
      </c>
      <c r="BB13" s="1415">
        <f t="shared" si="58"/>
        <v>219</v>
      </c>
      <c r="BC13" s="1415">
        <f t="shared" si="59"/>
        <v>9476.6984614303674</v>
      </c>
      <c r="BD13" s="1415">
        <f t="shared" si="60"/>
        <v>1579.4497435717278</v>
      </c>
      <c r="BE13" s="1415">
        <f t="shared" si="44"/>
        <v>7897.2487178586389</v>
      </c>
      <c r="BF13" s="1415">
        <f t="shared" si="61"/>
        <v>188</v>
      </c>
      <c r="BG13" s="1415">
        <f t="shared" si="62"/>
        <v>22112.296410004186</v>
      </c>
      <c r="BH13" s="1415">
        <f t="shared" si="63"/>
        <v>3685.3827350006977</v>
      </c>
      <c r="BI13" s="1416">
        <f t="shared" si="45"/>
        <v>18426.913675003489</v>
      </c>
      <c r="BK13" s="853">
        <f t="shared" si="12"/>
        <v>48231.39884300359</v>
      </c>
      <c r="BL13" s="851">
        <f t="shared" si="13"/>
        <v>151682.70221379091</v>
      </c>
      <c r="BM13" s="851">
        <f t="shared" si="46"/>
        <v>103451.30337078733</v>
      </c>
      <c r="BN13" s="851">
        <f t="shared" si="47"/>
        <v>17241.883895131225</v>
      </c>
      <c r="BO13" s="851">
        <f t="shared" si="48"/>
        <v>86209.419475656105</v>
      </c>
      <c r="BP13" s="854">
        <f t="shared" si="49"/>
        <v>1232</v>
      </c>
      <c r="BQ13" s="824"/>
      <c r="BR13" s="1402">
        <f t="shared" si="14"/>
        <v>19714.524998960489</v>
      </c>
      <c r="BS13" s="1403">
        <f t="shared" si="50"/>
        <v>105923.9444746166</v>
      </c>
      <c r="BT13" s="1403">
        <f t="shared" si="51"/>
        <v>10529.664957144851</v>
      </c>
      <c r="BU13" s="855">
        <f t="shared" si="52"/>
        <v>9.9407787440054768E-2</v>
      </c>
      <c r="BV13" s="1403">
        <f t="shared" si="53"/>
        <v>7897.2487178586389</v>
      </c>
      <c r="BW13" s="856">
        <f t="shared" si="54"/>
        <v>7.4555840580041083E-2</v>
      </c>
    </row>
    <row r="14" spans="1:75" ht="13.9" thickBot="1">
      <c r="A14" s="873">
        <v>8</v>
      </c>
      <c r="B14" s="874">
        <f>'06_CARGAS'!B15</f>
        <v>14752.6990159</v>
      </c>
      <c r="C14" s="874">
        <f>'07c_ATC_Ajustado'!M72</f>
        <v>121620.35038592429</v>
      </c>
      <c r="D14" s="874">
        <f t="shared" si="7"/>
        <v>121620.35038592429</v>
      </c>
      <c r="E14" s="1399">
        <f t="shared" si="7"/>
        <v>31531.201951906296</v>
      </c>
      <c r="F14" s="1399">
        <f t="shared" si="7"/>
        <v>90089.148434017989</v>
      </c>
      <c r="G14" s="858">
        <f>VLOOKUP(G2,'07c_ATC_Ajustado'!$L$73:$M$79,2)</f>
        <v>0</v>
      </c>
      <c r="H14" s="858">
        <f t="shared" si="15"/>
        <v>0</v>
      </c>
      <c r="I14" s="1411">
        <f t="shared" si="16"/>
        <v>0</v>
      </c>
      <c r="J14" s="858">
        <f t="shared" si="17"/>
        <v>0</v>
      </c>
      <c r="K14" s="858">
        <f>VLOOKUP(K2,'07c_ATC_Ajustado'!$L$73:$M$79,2)</f>
        <v>0</v>
      </c>
      <c r="L14" s="858">
        <f t="shared" si="18"/>
        <v>0</v>
      </c>
      <c r="M14" s="1411">
        <f t="shared" si="19"/>
        <v>0</v>
      </c>
      <c r="N14" s="858">
        <f t="shared" si="20"/>
        <v>0</v>
      </c>
      <c r="O14" s="858">
        <f>VLOOKUP(O2,'07c_ATC_Ajustado'!$L$73:$M$79,2)</f>
        <v>0</v>
      </c>
      <c r="P14" s="858">
        <f t="shared" si="21"/>
        <v>0</v>
      </c>
      <c r="Q14" s="858">
        <f t="shared" si="22"/>
        <v>0</v>
      </c>
      <c r="R14" s="858">
        <v>0</v>
      </c>
      <c r="S14" s="858">
        <f>VLOOKUP(S2,'07c_ATC_Ajustado'!$L$73:$M$79,2)</f>
        <v>0</v>
      </c>
      <c r="T14" s="858">
        <f t="shared" si="23"/>
        <v>0</v>
      </c>
      <c r="U14" s="1411">
        <f t="shared" si="24"/>
        <v>0</v>
      </c>
      <c r="V14" s="858">
        <f t="shared" si="25"/>
        <v>0</v>
      </c>
      <c r="W14" s="858">
        <f>VLOOKUP(W2,'07c_ATC_Ajustado'!$L$73:$M$79,2)</f>
        <v>121620.35038592429</v>
      </c>
      <c r="X14" s="858">
        <f t="shared" si="26"/>
        <v>31531.201951906296</v>
      </c>
      <c r="Y14" s="858">
        <f t="shared" si="27"/>
        <v>90089.148434017989</v>
      </c>
      <c r="Z14" s="858">
        <f t="shared" si="28"/>
        <v>1802</v>
      </c>
      <c r="AA14" s="858">
        <f>VLOOKUP(AA2,'07c_ATC_Ajustado'!$L$73:$M$79,2)</f>
        <v>0</v>
      </c>
      <c r="AB14" s="858">
        <f t="shared" si="29"/>
        <v>0</v>
      </c>
      <c r="AC14" s="1411">
        <f t="shared" si="30"/>
        <v>0</v>
      </c>
      <c r="AD14" s="859">
        <f t="shared" si="31"/>
        <v>0</v>
      </c>
      <c r="AE14" s="881"/>
      <c r="AF14" s="1410">
        <f t="shared" si="32"/>
        <v>90089.148434017989</v>
      </c>
      <c r="AG14" s="1411">
        <f t="shared" si="33"/>
        <v>0</v>
      </c>
      <c r="AH14" s="1469">
        <f t="shared" si="34"/>
        <v>90089.148434017989</v>
      </c>
      <c r="AI14" s="891"/>
      <c r="AJ14" s="857">
        <f t="shared" si="35"/>
        <v>8648.5582496657262</v>
      </c>
      <c r="AK14" s="858">
        <f t="shared" si="8"/>
        <v>1441.426374944288</v>
      </c>
      <c r="AL14" s="1411">
        <f t="shared" ref="AL14" si="64">AH14*$AL$4</f>
        <v>7207.1318747214391</v>
      </c>
      <c r="AM14" s="858">
        <f t="shared" si="36"/>
        <v>150</v>
      </c>
      <c r="AN14" s="858">
        <f t="shared" si="37"/>
        <v>6486.4186872492955</v>
      </c>
      <c r="AO14" s="858">
        <f t="shared" si="10"/>
        <v>1081.069781208216</v>
      </c>
      <c r="AP14" s="1411">
        <f t="shared" si="11"/>
        <v>5405.3489060410793</v>
      </c>
      <c r="AQ14" s="858">
        <f t="shared" si="38"/>
        <v>129</v>
      </c>
      <c r="AR14" s="858">
        <f t="shared" si="39"/>
        <v>15134.976936915022</v>
      </c>
      <c r="AS14" s="858">
        <f t="shared" si="40"/>
        <v>2522.4961561525042</v>
      </c>
      <c r="AT14" s="859">
        <f t="shared" si="41"/>
        <v>12612.480780762518</v>
      </c>
      <c r="AU14" s="881"/>
      <c r="AV14" s="1410">
        <f>AT14</f>
        <v>12612.480780762518</v>
      </c>
      <c r="AW14" s="1411">
        <v>0</v>
      </c>
      <c r="AX14" s="901">
        <f t="shared" si="42"/>
        <v>0</v>
      </c>
      <c r="AY14" s="1417">
        <f>SUM(AZ14:BA14)</f>
        <v>0</v>
      </c>
      <c r="AZ14" s="1417">
        <f>BA14*$AZ$4</f>
        <v>0</v>
      </c>
      <c r="BA14" s="1417">
        <f t="shared" si="43"/>
        <v>0</v>
      </c>
      <c r="BB14" s="1417">
        <f t="shared" ref="BB14" si="65">ROUND(BA14/BB10,0)</f>
        <v>0</v>
      </c>
      <c r="BC14" s="1417"/>
      <c r="BD14" s="1417"/>
      <c r="BE14" s="1417">
        <f t="shared" si="44"/>
        <v>0</v>
      </c>
      <c r="BF14" s="1417"/>
      <c r="BG14" s="1417"/>
      <c r="BH14" s="1417">
        <f t="shared" si="63"/>
        <v>0</v>
      </c>
      <c r="BI14" s="1418">
        <f t="shared" si="45"/>
        <v>0</v>
      </c>
      <c r="BK14" s="857">
        <f t="shared" si="12"/>
        <v>121620.35038592429</v>
      </c>
      <c r="BL14" s="858">
        <f t="shared" si="13"/>
        <v>121620.35038592429</v>
      </c>
      <c r="BM14" s="858">
        <f t="shared" si="46"/>
        <v>0</v>
      </c>
      <c r="BN14" s="858">
        <f t="shared" si="47"/>
        <v>0</v>
      </c>
      <c r="BO14" s="858">
        <f t="shared" si="48"/>
        <v>0</v>
      </c>
      <c r="BP14" s="859">
        <f t="shared" si="49"/>
        <v>0</v>
      </c>
      <c r="BQ14" s="824"/>
      <c r="BR14" s="1404">
        <f t="shared" si="14"/>
        <v>90089.148434017989</v>
      </c>
      <c r="BS14" s="1405">
        <f t="shared" si="50"/>
        <v>90089.148434017989</v>
      </c>
      <c r="BT14" s="1405">
        <f t="shared" si="51"/>
        <v>0</v>
      </c>
      <c r="BU14" s="860">
        <f t="shared" si="52"/>
        <v>0</v>
      </c>
      <c r="BV14" s="1405">
        <f t="shared" si="53"/>
        <v>0</v>
      </c>
      <c r="BW14" s="861">
        <f t="shared" si="54"/>
        <v>0</v>
      </c>
    </row>
    <row r="15" spans="1:75">
      <c r="H15" s="862"/>
      <c r="I15" s="862"/>
    </row>
    <row r="16" spans="1:75">
      <c r="H16" s="862"/>
      <c r="AK16" s="863"/>
      <c r="AL16" s="862"/>
      <c r="AP16" s="862"/>
      <c r="AQ16" s="862"/>
    </row>
    <row r="17" spans="4:43">
      <c r="D17" s="1419"/>
      <c r="AK17" s="863"/>
      <c r="AL17" s="862"/>
      <c r="AP17" s="864"/>
      <c r="AQ17" s="862"/>
    </row>
  </sheetData>
  <mergeCells count="17">
    <mergeCell ref="AW2:AX2"/>
    <mergeCell ref="AV1:BI1"/>
    <mergeCell ref="A1:A3"/>
    <mergeCell ref="B1:B3"/>
    <mergeCell ref="C1:C3"/>
    <mergeCell ref="D1:F2"/>
    <mergeCell ref="AF1:AH1"/>
    <mergeCell ref="AA1:AD1"/>
    <mergeCell ref="AJ1:AT1"/>
    <mergeCell ref="G1:Z1"/>
    <mergeCell ref="BV3:BW3"/>
    <mergeCell ref="BT3:BU3"/>
    <mergeCell ref="BM2:BP2"/>
    <mergeCell ref="BR1:BW2"/>
    <mergeCell ref="BK1:BP1"/>
    <mergeCell ref="BK2:BK3"/>
    <mergeCell ref="BL2:BL3"/>
  </mergeCells>
  <pageMargins left="0.7" right="0.7" top="0.75" bottom="0.75" header="0.3" footer="0.3"/>
  <pageSetup orientation="portrait" horizontalDpi="1200" verticalDpi="1200" r:id="rId1"/>
  <ignoredErrors>
    <ignoredError sqref="BU6" formula="1"/>
  </ignoredErrors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9FD42-55B6-47F9-8800-97209B3F06EE}">
  <dimension ref="A1:Z13"/>
  <sheetViews>
    <sheetView zoomScale="145" zoomScaleNormal="145" workbookViewId="0">
      <selection activeCell="W3" sqref="W3"/>
    </sheetView>
  </sheetViews>
  <sheetFormatPr defaultColWidth="11.375" defaultRowHeight="13.15"/>
  <cols>
    <col min="1" max="1" width="4.375" style="903" bestFit="1" customWidth="1"/>
    <col min="2" max="2" width="15.375" style="903" bestFit="1" customWidth="1"/>
    <col min="3" max="3" width="13.25" style="903" bestFit="1" customWidth="1"/>
    <col min="4" max="4" width="18.25" style="903" bestFit="1" customWidth="1"/>
    <col min="5" max="5" width="3.625" style="903" customWidth="1"/>
    <col min="6" max="7" width="12.125" style="903" bestFit="1" customWidth="1"/>
    <col min="8" max="8" width="13.25" style="903" bestFit="1" customWidth="1"/>
    <col min="9" max="9" width="2.625" style="903" customWidth="1"/>
    <col min="10" max="10" width="12.125" style="903" bestFit="1" customWidth="1"/>
    <col min="11" max="11" width="18.75" style="903" bestFit="1" customWidth="1"/>
    <col min="12" max="12" width="7.875" style="903" bestFit="1" customWidth="1"/>
    <col min="13" max="13" width="7.875" style="903" customWidth="1"/>
    <col min="14" max="14" width="13" style="910" bestFit="1" customWidth="1"/>
    <col min="15" max="15" width="10" style="910" bestFit="1" customWidth="1"/>
    <col min="16" max="16" width="8.875" style="910" bestFit="1" customWidth="1"/>
    <col min="17" max="17" width="9.375" style="910" customWidth="1"/>
    <col min="18" max="18" width="21.625" style="910" bestFit="1" customWidth="1"/>
    <col min="19" max="19" width="4.125" style="910" customWidth="1"/>
    <col min="20" max="21" width="9.125" style="903" bestFit="1" customWidth="1"/>
    <col min="22" max="22" width="10.25" style="903" bestFit="1" customWidth="1"/>
    <col min="23" max="23" width="17.25" style="903" customWidth="1"/>
    <col min="24" max="24" width="11.875" style="903" bestFit="1" customWidth="1"/>
    <col min="25" max="25" width="7.75" style="903" bestFit="1" customWidth="1"/>
    <col min="26" max="26" width="21.625" style="903" bestFit="1" customWidth="1"/>
    <col min="27" max="27" width="5.125" style="903" customWidth="1"/>
    <col min="28" max="16384" width="11.375" style="903"/>
  </cols>
  <sheetData>
    <row r="1" spans="1:26" ht="15" customHeight="1">
      <c r="A1" s="1631" t="s">
        <v>247</v>
      </c>
      <c r="B1" s="1633" t="s">
        <v>719</v>
      </c>
      <c r="C1" s="1633" t="s">
        <v>720</v>
      </c>
      <c r="D1" s="1635" t="s">
        <v>721</v>
      </c>
      <c r="E1" s="413"/>
      <c r="F1" s="1631" t="s">
        <v>746</v>
      </c>
      <c r="G1" s="1637"/>
      <c r="H1" s="1635"/>
      <c r="I1" s="1638"/>
      <c r="J1" s="1631" t="s">
        <v>747</v>
      </c>
      <c r="K1" s="1637"/>
      <c r="L1" s="1635"/>
      <c r="M1" s="416"/>
      <c r="N1" s="1639" t="s">
        <v>748</v>
      </c>
      <c r="O1" s="1640"/>
      <c r="P1" s="1640"/>
      <c r="Q1" s="1640"/>
      <c r="R1" s="1641"/>
      <c r="S1" s="416"/>
      <c r="T1" s="1627" t="s">
        <v>749</v>
      </c>
      <c r="U1" s="1628"/>
      <c r="V1" s="1628"/>
      <c r="W1" s="1628"/>
      <c r="X1" s="1628"/>
      <c r="Y1" s="1628"/>
      <c r="Z1" s="1629"/>
    </row>
    <row r="2" spans="1:26" ht="39.6">
      <c r="A2" s="1632"/>
      <c r="B2" s="1634"/>
      <c r="C2" s="1634"/>
      <c r="D2" s="1636"/>
      <c r="E2" s="413"/>
      <c r="F2" s="954" t="s">
        <v>750</v>
      </c>
      <c r="G2" s="902" t="s">
        <v>16</v>
      </c>
      <c r="H2" s="965" t="s">
        <v>259</v>
      </c>
      <c r="I2" s="1638"/>
      <c r="J2" s="954" t="s">
        <v>751</v>
      </c>
      <c r="K2" s="902" t="s">
        <v>162</v>
      </c>
      <c r="L2" s="955" t="s">
        <v>220</v>
      </c>
      <c r="M2" s="416"/>
      <c r="N2" s="904" t="s">
        <v>748</v>
      </c>
      <c r="O2" s="421" t="s">
        <v>752</v>
      </c>
      <c r="P2" s="1642" t="s">
        <v>753</v>
      </c>
      <c r="Q2" s="1642"/>
      <c r="R2" s="1643"/>
      <c r="S2" s="415"/>
      <c r="T2" s="1625" t="s">
        <v>754</v>
      </c>
      <c r="U2" s="1626"/>
      <c r="V2" s="1626"/>
      <c r="W2" s="422" t="s">
        <v>755</v>
      </c>
      <c r="X2" s="1626" t="s">
        <v>756</v>
      </c>
      <c r="Y2" s="1626"/>
      <c r="Z2" s="1630"/>
    </row>
    <row r="3" spans="1:26">
      <c r="A3" s="956"/>
      <c r="B3" s="519"/>
      <c r="C3" s="519"/>
      <c r="D3" s="957"/>
      <c r="F3" s="966">
        <v>0.08</v>
      </c>
      <c r="G3" s="905">
        <v>0.06</v>
      </c>
      <c r="H3" s="957"/>
      <c r="J3" s="970">
        <v>0.18</v>
      </c>
      <c r="K3" s="906">
        <f>'00_DATOS_1'!D48</f>
        <v>3535000</v>
      </c>
      <c r="L3" s="957"/>
      <c r="N3" s="907"/>
      <c r="O3" s="908"/>
      <c r="P3" s="908"/>
      <c r="Q3" s="908">
        <v>0.18</v>
      </c>
      <c r="R3" s="909">
        <f>K3</f>
        <v>3535000</v>
      </c>
      <c r="T3" s="911" t="s">
        <v>750</v>
      </c>
      <c r="U3" s="912" t="s">
        <v>16</v>
      </c>
      <c r="V3" s="912" t="s">
        <v>259</v>
      </c>
      <c r="W3" s="912" t="s">
        <v>259</v>
      </c>
      <c r="X3" s="913"/>
      <c r="Y3" s="912">
        <v>0.18</v>
      </c>
      <c r="Z3" s="914">
        <f>K3</f>
        <v>3535000</v>
      </c>
    </row>
    <row r="4" spans="1:26" s="946" customFormat="1" ht="10.15">
      <c r="A4" s="950"/>
      <c r="B4" s="945" t="s">
        <v>164</v>
      </c>
      <c r="C4" s="945" t="s">
        <v>164</v>
      </c>
      <c r="D4" s="951" t="s">
        <v>164</v>
      </c>
      <c r="F4" s="950" t="s">
        <v>164</v>
      </c>
      <c r="G4" s="945" t="s">
        <v>164</v>
      </c>
      <c r="H4" s="951" t="s">
        <v>164</v>
      </c>
      <c r="J4" s="950" t="s">
        <v>164</v>
      </c>
      <c r="K4" s="945" t="s">
        <v>176</v>
      </c>
      <c r="L4" s="951" t="s">
        <v>220</v>
      </c>
      <c r="N4" s="947" t="s">
        <v>558</v>
      </c>
      <c r="O4" s="948" t="s">
        <v>164</v>
      </c>
      <c r="P4" s="948" t="s">
        <v>164</v>
      </c>
      <c r="Q4" s="948" t="s">
        <v>164</v>
      </c>
      <c r="R4" s="949" t="s">
        <v>176</v>
      </c>
      <c r="T4" s="950" t="s">
        <v>164</v>
      </c>
      <c r="U4" s="945" t="s">
        <v>164</v>
      </c>
      <c r="V4" s="945" t="s">
        <v>164</v>
      </c>
      <c r="W4" s="945" t="s">
        <v>164</v>
      </c>
      <c r="X4" s="945" t="s">
        <v>164</v>
      </c>
      <c r="Y4" s="945" t="s">
        <v>164</v>
      </c>
      <c r="Z4" s="951" t="s">
        <v>176</v>
      </c>
    </row>
    <row r="5" spans="1:26" s="917" customFormat="1">
      <c r="A5" s="958"/>
      <c r="B5" s="918">
        <f>SUM(B6:B13)</f>
        <v>287391.26244024653</v>
      </c>
      <c r="C5" s="918">
        <f t="shared" ref="C5:D5" si="0">SUM(C6:C13)</f>
        <v>782561.47825383407</v>
      </c>
      <c r="D5" s="959">
        <f t="shared" si="0"/>
        <v>1069952.7406940807</v>
      </c>
      <c r="F5" s="967">
        <f t="shared" ref="F5" si="1">SUM(F6:F13)</f>
        <v>85596.219255526463</v>
      </c>
      <c r="G5" s="918">
        <f t="shared" ref="G5" si="2">SUM(G6:G13)</f>
        <v>64197.164441644854</v>
      </c>
      <c r="H5" s="959">
        <f t="shared" ref="H5:K5" si="3">SUM(H6:H13)</f>
        <v>149793.38369717129</v>
      </c>
      <c r="J5" s="967">
        <f t="shared" si="3"/>
        <v>26962.809065490837</v>
      </c>
      <c r="K5" s="919">
        <f t="shared" si="3"/>
        <v>95313530046.510101</v>
      </c>
      <c r="L5" s="971">
        <f>SUM(L6:L13)</f>
        <v>0.99999999999999978</v>
      </c>
      <c r="M5" s="920"/>
      <c r="N5" s="921"/>
      <c r="O5" s="922">
        <f>SUM(O6:O13)</f>
        <v>126154.10762934451</v>
      </c>
      <c r="P5" s="922">
        <f>SUM(P6:P13)</f>
        <v>23639.276067826791</v>
      </c>
      <c r="Q5" s="922">
        <f>SUM(Q6:Q13)</f>
        <v>4255.0696922088227</v>
      </c>
      <c r="R5" s="923">
        <f>SUM(R6:R13)</f>
        <v>15041671361.958187</v>
      </c>
      <c r="S5" s="414"/>
      <c r="T5" s="924">
        <f t="shared" ref="T5:Z5" si="4">SUM(T6:T13)</f>
        <v>72088.061502482567</v>
      </c>
      <c r="U5" s="925">
        <f t="shared" si="4"/>
        <v>54066.04612686194</v>
      </c>
      <c r="V5" s="925">
        <f t="shared" si="4"/>
        <v>126154.10762934451</v>
      </c>
      <c r="W5" s="926">
        <f t="shared" si="4"/>
        <v>149793.38369717132</v>
      </c>
      <c r="X5" s="918">
        <f t="shared" si="4"/>
        <v>23639.276067826817</v>
      </c>
      <c r="Y5" s="925">
        <f t="shared" si="4"/>
        <v>4255.0696922088264</v>
      </c>
      <c r="Z5" s="927">
        <f t="shared" si="4"/>
        <v>15041671361.958202</v>
      </c>
    </row>
    <row r="6" spans="1:26">
      <c r="A6" s="960">
        <v>1</v>
      </c>
      <c r="B6" s="929">
        <f>'08_ATC_por_USOS'!AF7</f>
        <v>78762.823479030529</v>
      </c>
      <c r="C6" s="929">
        <f>'08_ATC_por_USOS'!AG7</f>
        <v>0</v>
      </c>
      <c r="D6" s="961">
        <f>SUM(B6:C6)</f>
        <v>78762.823479030529</v>
      </c>
      <c r="F6" s="968">
        <f>D6*$F$3</f>
        <v>6301.0258783224426</v>
      </c>
      <c r="G6" s="929">
        <f>D6*$G$3</f>
        <v>4725.7694087418313</v>
      </c>
      <c r="H6" s="961">
        <f>SUM(F6:G6)</f>
        <v>11026.795287064273</v>
      </c>
      <c r="J6" s="968">
        <f>H6*$J$3</f>
        <v>1984.8231516715691</v>
      </c>
      <c r="K6" s="930">
        <f>J6*$K$3</f>
        <v>7016349841.1589966</v>
      </c>
      <c r="L6" s="972">
        <f>K6/$K$5</f>
        <v>7.3613366724904969E-2</v>
      </c>
      <c r="M6" s="931"/>
      <c r="N6" s="907" t="s">
        <v>757</v>
      </c>
      <c r="O6" s="932">
        <v>0</v>
      </c>
      <c r="P6" s="932">
        <f>H6</f>
        <v>11026.795287064273</v>
      </c>
      <c r="Q6" s="932">
        <f>J6</f>
        <v>1984.8231516715691</v>
      </c>
      <c r="R6" s="933">
        <f>IF(N6="En dinero",K6,0)</f>
        <v>7016349841.1589966</v>
      </c>
      <c r="T6" s="934">
        <v>0</v>
      </c>
      <c r="U6" s="935">
        <v>0</v>
      </c>
      <c r="V6" s="935">
        <v>0</v>
      </c>
      <c r="W6" s="929">
        <f>'08_ATC_por_USOS'!BI7</f>
        <v>0</v>
      </c>
      <c r="X6" s="929">
        <f>W6-V6</f>
        <v>0</v>
      </c>
      <c r="Y6" s="935">
        <f>X6*$Y$3</f>
        <v>0</v>
      </c>
      <c r="Z6" s="936">
        <f>Y6*$Z$3</f>
        <v>0</v>
      </c>
    </row>
    <row r="7" spans="1:26">
      <c r="A7" s="960">
        <v>2</v>
      </c>
      <c r="B7" s="929">
        <f>'08_ATC_por_USOS'!AF8</f>
        <v>16250.426752942862</v>
      </c>
      <c r="C7" s="929">
        <f>'08_ATC_por_USOS'!AG8</f>
        <v>115971.67952016222</v>
      </c>
      <c r="D7" s="961">
        <f t="shared" ref="D7:D13" si="5">SUM(B7:C7)</f>
        <v>132222.10627310508</v>
      </c>
      <c r="F7" s="968">
        <f t="shared" ref="F7:F13" si="6">D7*$F$3</f>
        <v>10577.768501848406</v>
      </c>
      <c r="G7" s="929">
        <f t="shared" ref="G7:G13" si="7">D7*$G$3</f>
        <v>7933.3263763863042</v>
      </c>
      <c r="H7" s="961">
        <f t="shared" ref="H7:H13" si="8">SUM(F7:G7)</f>
        <v>18511.094878234711</v>
      </c>
      <c r="J7" s="968">
        <f t="shared" ref="J7:J13" si="9">H7*$J$3</f>
        <v>3331.9970780822478</v>
      </c>
      <c r="K7" s="930">
        <f t="shared" ref="K7:K13" si="10">J7*$K$3</f>
        <v>11778609671.020746</v>
      </c>
      <c r="L7" s="972">
        <f t="shared" ref="L7:L13" si="11">K7/$K$5</f>
        <v>0.1235775200569441</v>
      </c>
      <c r="M7" s="931"/>
      <c r="N7" s="907" t="s">
        <v>752</v>
      </c>
      <c r="O7" s="932">
        <f>H7</f>
        <v>18511.094878234711</v>
      </c>
      <c r="P7" s="932">
        <v>0</v>
      </c>
      <c r="Q7" s="932">
        <v>0</v>
      </c>
      <c r="R7" s="933">
        <f t="shared" ref="R7:R13" si="12">IF(N7="En dinero",K7,0)</f>
        <v>0</v>
      </c>
      <c r="T7" s="934">
        <f>F7</f>
        <v>10577.768501848406</v>
      </c>
      <c r="U7" s="935">
        <f>G7</f>
        <v>7933.3263763863042</v>
      </c>
      <c r="V7" s="935">
        <f>H7</f>
        <v>18511.094878234711</v>
      </c>
      <c r="W7" s="929">
        <f>'08_ATC_por_USOS'!BI8</f>
        <v>21979.780047250475</v>
      </c>
      <c r="X7" s="929">
        <f t="shared" ref="X7:X13" si="13">W7-V7</f>
        <v>3468.6851690157637</v>
      </c>
      <c r="Y7" s="935">
        <f t="shared" ref="Y7:Y13" si="14">X7*$Y$3</f>
        <v>624.36333042283741</v>
      </c>
      <c r="Z7" s="937">
        <f t="shared" ref="Z7:Z13" si="15">Y7*$Z$3</f>
        <v>2207124373.0447302</v>
      </c>
    </row>
    <row r="8" spans="1:26">
      <c r="A8" s="960">
        <v>3</v>
      </c>
      <c r="B8" s="929">
        <f>'08_ATC_por_USOS'!AF9</f>
        <v>17241.005113697032</v>
      </c>
      <c r="C8" s="929">
        <f>'08_ATC_por_USOS'!AG9</f>
        <v>121867.34793177013</v>
      </c>
      <c r="D8" s="961">
        <f t="shared" si="5"/>
        <v>139108.35304546717</v>
      </c>
      <c r="F8" s="968">
        <f t="shared" si="6"/>
        <v>11128.668243637374</v>
      </c>
      <c r="G8" s="929">
        <f t="shared" si="7"/>
        <v>8346.5011827280305</v>
      </c>
      <c r="H8" s="961">
        <f t="shared" si="8"/>
        <v>19475.169426365406</v>
      </c>
      <c r="J8" s="968">
        <f t="shared" si="9"/>
        <v>3505.5304967457728</v>
      </c>
      <c r="K8" s="930">
        <f t="shared" si="10"/>
        <v>12392050305.996307</v>
      </c>
      <c r="L8" s="972">
        <f t="shared" si="11"/>
        <v>0.13001354896780515</v>
      </c>
      <c r="M8" s="931"/>
      <c r="N8" s="907" t="s">
        <v>752</v>
      </c>
      <c r="O8" s="932">
        <f t="shared" ref="O8:O12" si="16">H8</f>
        <v>19475.169426365406</v>
      </c>
      <c r="P8" s="932">
        <v>0</v>
      </c>
      <c r="Q8" s="932">
        <v>0</v>
      </c>
      <c r="R8" s="933">
        <f t="shared" si="12"/>
        <v>0</v>
      </c>
      <c r="T8" s="934">
        <f t="shared" ref="T8:T12" si="17">F8</f>
        <v>11128.668243637374</v>
      </c>
      <c r="U8" s="935">
        <f t="shared" ref="U8:U12" si="18">G8</f>
        <v>8346.5011827280305</v>
      </c>
      <c r="V8" s="935">
        <f t="shared" ref="V8:V12" si="19">H8</f>
        <v>19475.169426365406</v>
      </c>
      <c r="W8" s="929">
        <f>'08_ATC_por_USOS'!BI9</f>
        <v>23124.506853333689</v>
      </c>
      <c r="X8" s="929">
        <f t="shared" si="13"/>
        <v>3649.3374269682827</v>
      </c>
      <c r="Y8" s="935">
        <f t="shared" si="14"/>
        <v>656.88073685429083</v>
      </c>
      <c r="Z8" s="937">
        <f t="shared" si="15"/>
        <v>2322073404.7799182</v>
      </c>
    </row>
    <row r="9" spans="1:26">
      <c r="A9" s="960">
        <v>4</v>
      </c>
      <c r="B9" s="929">
        <f>'08_ATC_por_USOS'!AF10</f>
        <v>25111.866573277144</v>
      </c>
      <c r="C9" s="929">
        <f>'08_ATC_por_USOS'!AG10</f>
        <v>174035.38816041462</v>
      </c>
      <c r="D9" s="961">
        <f t="shared" si="5"/>
        <v>199147.25473369175</v>
      </c>
      <c r="F9" s="968">
        <f t="shared" si="6"/>
        <v>15931.780378695341</v>
      </c>
      <c r="G9" s="929">
        <f t="shared" si="7"/>
        <v>11948.835284021505</v>
      </c>
      <c r="H9" s="961">
        <f t="shared" si="8"/>
        <v>27880.615662716846</v>
      </c>
      <c r="J9" s="968">
        <f t="shared" si="9"/>
        <v>5018.510819289032</v>
      </c>
      <c r="K9" s="930">
        <f t="shared" si="10"/>
        <v>17740435746.186729</v>
      </c>
      <c r="L9" s="972">
        <f t="shared" si="11"/>
        <v>0.18612715044264899</v>
      </c>
      <c r="M9" s="931"/>
      <c r="N9" s="907" t="s">
        <v>752</v>
      </c>
      <c r="O9" s="932">
        <f t="shared" si="16"/>
        <v>27880.615662716846</v>
      </c>
      <c r="P9" s="932">
        <v>0</v>
      </c>
      <c r="Q9" s="932">
        <v>0</v>
      </c>
      <c r="R9" s="933">
        <f t="shared" si="12"/>
        <v>0</v>
      </c>
      <c r="T9" s="934">
        <f t="shared" si="17"/>
        <v>15931.780378695341</v>
      </c>
      <c r="U9" s="935">
        <f t="shared" si="18"/>
        <v>11948.835284021505</v>
      </c>
      <c r="V9" s="935">
        <f t="shared" si="19"/>
        <v>27880.615662716846</v>
      </c>
      <c r="W9" s="929">
        <f>'08_ATC_por_USOS'!BI10</f>
        <v>33105.000210926621</v>
      </c>
      <c r="X9" s="929">
        <f t="shared" si="13"/>
        <v>5224.3845482097749</v>
      </c>
      <c r="Y9" s="935">
        <f t="shared" si="14"/>
        <v>940.38921867775946</v>
      </c>
      <c r="Z9" s="937">
        <f t="shared" si="15"/>
        <v>3324275888.0258799</v>
      </c>
    </row>
    <row r="10" spans="1:26">
      <c r="A10" s="960">
        <v>5</v>
      </c>
      <c r="B10" s="929">
        <f>'08_ATC_por_USOS'!AF11</f>
        <v>19070.905390908585</v>
      </c>
      <c r="C10" s="929">
        <f>'08_ATC_por_USOS'!AG11</f>
        <v>136237.45092486081</v>
      </c>
      <c r="D10" s="961">
        <f t="shared" si="5"/>
        <v>155308.3563157694</v>
      </c>
      <c r="F10" s="968">
        <f t="shared" si="6"/>
        <v>12424.668505261552</v>
      </c>
      <c r="G10" s="929">
        <f t="shared" si="7"/>
        <v>9318.5013789461646</v>
      </c>
      <c r="H10" s="961">
        <f t="shared" si="8"/>
        <v>21743.169884207717</v>
      </c>
      <c r="J10" s="968">
        <f t="shared" si="9"/>
        <v>3913.770579157389</v>
      </c>
      <c r="K10" s="930">
        <f t="shared" si="10"/>
        <v>13835178997.321369</v>
      </c>
      <c r="L10" s="972">
        <f t="shared" si="11"/>
        <v>0.14515440767507218</v>
      </c>
      <c r="M10" s="931"/>
      <c r="N10" s="907" t="s">
        <v>752</v>
      </c>
      <c r="O10" s="932">
        <f t="shared" si="16"/>
        <v>21743.169884207717</v>
      </c>
      <c r="P10" s="932">
        <v>0</v>
      </c>
      <c r="Q10" s="932">
        <v>0</v>
      </c>
      <c r="R10" s="933">
        <f t="shared" si="12"/>
        <v>0</v>
      </c>
      <c r="T10" s="934">
        <f t="shared" si="17"/>
        <v>12424.668505261552</v>
      </c>
      <c r="U10" s="935">
        <f t="shared" si="18"/>
        <v>9318.5013789461646</v>
      </c>
      <c r="V10" s="935">
        <f t="shared" si="19"/>
        <v>21743.169884207717</v>
      </c>
      <c r="W10" s="929">
        <f>'08_ATC_por_USOS'!BI11</f>
        <v>25817.49457439232</v>
      </c>
      <c r="X10" s="929">
        <f t="shared" si="13"/>
        <v>4074.3246901846032</v>
      </c>
      <c r="Y10" s="935">
        <f t="shared" si="14"/>
        <v>733.37844423322861</v>
      </c>
      <c r="Z10" s="937">
        <f t="shared" si="15"/>
        <v>2592492800.3644633</v>
      </c>
    </row>
    <row r="11" spans="1:26">
      <c r="A11" s="960">
        <v>6</v>
      </c>
      <c r="B11" s="929">
        <f>'08_ATC_por_USOS'!AF12</f>
        <v>21150.56169741194</v>
      </c>
      <c r="C11" s="929">
        <f>'08_ATC_por_USOS'!AG12</f>
        <v>143314.74090798741</v>
      </c>
      <c r="D11" s="961">
        <f t="shared" si="5"/>
        <v>164465.30260539934</v>
      </c>
      <c r="F11" s="968">
        <f t="shared" si="6"/>
        <v>13157.224208431948</v>
      </c>
      <c r="G11" s="929">
        <f t="shared" si="7"/>
        <v>9867.9181563239599</v>
      </c>
      <c r="H11" s="961">
        <f t="shared" si="8"/>
        <v>23025.142364755906</v>
      </c>
      <c r="J11" s="968">
        <f t="shared" si="9"/>
        <v>4144.5256256560633</v>
      </c>
      <c r="K11" s="930">
        <f t="shared" si="10"/>
        <v>14650898086.694183</v>
      </c>
      <c r="L11" s="972">
        <f t="shared" si="11"/>
        <v>0.15371267940181202</v>
      </c>
      <c r="M11" s="931"/>
      <c r="N11" s="907" t="s">
        <v>752</v>
      </c>
      <c r="O11" s="932">
        <f t="shared" si="16"/>
        <v>23025.142364755906</v>
      </c>
      <c r="P11" s="932">
        <v>0</v>
      </c>
      <c r="Q11" s="932">
        <v>0</v>
      </c>
      <c r="R11" s="933">
        <f t="shared" si="12"/>
        <v>0</v>
      </c>
      <c r="T11" s="934">
        <f t="shared" si="17"/>
        <v>13157.224208431948</v>
      </c>
      <c r="U11" s="935">
        <f t="shared" si="18"/>
        <v>9867.9181563239599</v>
      </c>
      <c r="V11" s="935">
        <f t="shared" si="19"/>
        <v>23025.142364755906</v>
      </c>
      <c r="W11" s="929">
        <f>'08_ATC_por_USOS'!BI12</f>
        <v>27339.688336264735</v>
      </c>
      <c r="X11" s="929">
        <f t="shared" si="13"/>
        <v>4314.5459715088291</v>
      </c>
      <c r="Y11" s="935">
        <f t="shared" si="14"/>
        <v>776.61827487158916</v>
      </c>
      <c r="Z11" s="937">
        <f t="shared" si="15"/>
        <v>2745345601.6710677</v>
      </c>
    </row>
    <row r="12" spans="1:26">
      <c r="A12" s="960">
        <v>7</v>
      </c>
      <c r="B12" s="929">
        <f>'08_ATC_por_USOS'!AF13</f>
        <v>19714.524998960489</v>
      </c>
      <c r="C12" s="929">
        <f>'08_ATC_por_USOS'!AG13</f>
        <v>91134.870808638982</v>
      </c>
      <c r="D12" s="961">
        <f t="shared" si="5"/>
        <v>110849.39580759947</v>
      </c>
      <c r="F12" s="968">
        <f t="shared" si="6"/>
        <v>8867.9516646079574</v>
      </c>
      <c r="G12" s="929">
        <f t="shared" si="7"/>
        <v>6650.963748455968</v>
      </c>
      <c r="H12" s="961">
        <f t="shared" si="8"/>
        <v>15518.915413063925</v>
      </c>
      <c r="J12" s="968">
        <f t="shared" si="9"/>
        <v>2793.4047743515066</v>
      </c>
      <c r="K12" s="930">
        <f t="shared" si="10"/>
        <v>9874685877.3325768</v>
      </c>
      <c r="L12" s="972">
        <f t="shared" si="11"/>
        <v>0.10360214203076971</v>
      </c>
      <c r="M12" s="931"/>
      <c r="N12" s="907" t="s">
        <v>752</v>
      </c>
      <c r="O12" s="932">
        <f t="shared" si="16"/>
        <v>15518.915413063925</v>
      </c>
      <c r="P12" s="932">
        <v>0</v>
      </c>
      <c r="Q12" s="932">
        <v>0</v>
      </c>
      <c r="R12" s="933">
        <f t="shared" si="12"/>
        <v>0</v>
      </c>
      <c r="T12" s="934">
        <f t="shared" si="17"/>
        <v>8867.9516646079574</v>
      </c>
      <c r="U12" s="935">
        <f t="shared" si="18"/>
        <v>6650.963748455968</v>
      </c>
      <c r="V12" s="935">
        <f t="shared" si="19"/>
        <v>15518.915413063925</v>
      </c>
      <c r="W12" s="929">
        <f>'08_ATC_por_USOS'!BI13</f>
        <v>18426.913675003489</v>
      </c>
      <c r="X12" s="929">
        <f t="shared" si="13"/>
        <v>2907.9982619395632</v>
      </c>
      <c r="Y12" s="935">
        <f t="shared" si="14"/>
        <v>523.43968714912137</v>
      </c>
      <c r="Z12" s="937">
        <f t="shared" si="15"/>
        <v>1850359294.072144</v>
      </c>
    </row>
    <row r="13" spans="1:26" ht="13.9" thickBot="1">
      <c r="A13" s="962">
        <v>8</v>
      </c>
      <c r="B13" s="943">
        <f>'08_ATC_por_USOS'!AF14</f>
        <v>90089.148434017989</v>
      </c>
      <c r="C13" s="943">
        <f>'08_ATC_por_USOS'!AG14</f>
        <v>0</v>
      </c>
      <c r="D13" s="963">
        <f t="shared" si="5"/>
        <v>90089.148434017989</v>
      </c>
      <c r="F13" s="969">
        <f t="shared" si="6"/>
        <v>7207.1318747214391</v>
      </c>
      <c r="G13" s="943">
        <f t="shared" si="7"/>
        <v>5405.3489060410793</v>
      </c>
      <c r="H13" s="963">
        <f t="shared" si="8"/>
        <v>12612.480780762518</v>
      </c>
      <c r="J13" s="969">
        <f t="shared" si="9"/>
        <v>2270.2465405372532</v>
      </c>
      <c r="K13" s="973">
        <f t="shared" si="10"/>
        <v>8025321520.7991896</v>
      </c>
      <c r="L13" s="974">
        <f t="shared" si="11"/>
        <v>8.4199184700042867E-2</v>
      </c>
      <c r="M13" s="931"/>
      <c r="N13" s="938" t="s">
        <v>757</v>
      </c>
      <c r="O13" s="939">
        <f>IF(N13="En sitio",K13,0)</f>
        <v>0</v>
      </c>
      <c r="P13" s="939">
        <f>H13</f>
        <v>12612.480780762518</v>
      </c>
      <c r="Q13" s="939">
        <f>J13</f>
        <v>2270.2465405372532</v>
      </c>
      <c r="R13" s="940">
        <f t="shared" si="12"/>
        <v>8025321520.7991896</v>
      </c>
      <c r="T13" s="941">
        <v>0</v>
      </c>
      <c r="U13" s="942">
        <v>0</v>
      </c>
      <c r="V13" s="942">
        <v>0</v>
      </c>
      <c r="W13" s="943">
        <f>'08_ATC_por_USOS'!BI14</f>
        <v>0</v>
      </c>
      <c r="X13" s="943">
        <f t="shared" si="13"/>
        <v>0</v>
      </c>
      <c r="Y13" s="942">
        <f t="shared" si="14"/>
        <v>0</v>
      </c>
      <c r="Z13" s="944">
        <f t="shared" si="15"/>
        <v>0</v>
      </c>
    </row>
  </sheetData>
  <mergeCells count="12">
    <mergeCell ref="T2:V2"/>
    <mergeCell ref="T1:Z1"/>
    <mergeCell ref="X2:Z2"/>
    <mergeCell ref="A1:A2"/>
    <mergeCell ref="B1:B2"/>
    <mergeCell ref="C1:C2"/>
    <mergeCell ref="D1:D2"/>
    <mergeCell ref="F1:H1"/>
    <mergeCell ref="J1:L1"/>
    <mergeCell ref="I1:I2"/>
    <mergeCell ref="N1:R1"/>
    <mergeCell ref="P2:R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E1E48-9D8E-4876-9E6D-24B3EF04EDC7}">
  <dimension ref="A1:D5"/>
  <sheetViews>
    <sheetView zoomScale="160" zoomScaleNormal="160" workbookViewId="0">
      <selection activeCell="G16" sqref="G16"/>
    </sheetView>
  </sheetViews>
  <sheetFormatPr defaultColWidth="11.375" defaultRowHeight="13.15"/>
  <cols>
    <col min="1" max="1" width="4.75" style="262" bestFit="1" customWidth="1"/>
    <col min="2" max="2" width="13.25" style="263" bestFit="1" customWidth="1"/>
    <col min="3" max="3" width="18.75" style="263" bestFit="1" customWidth="1"/>
    <col min="4" max="16384" width="11.375" style="263"/>
  </cols>
  <sheetData>
    <row r="1" spans="1:4">
      <c r="A1" s="975" t="s">
        <v>0</v>
      </c>
      <c r="B1" s="976" t="s">
        <v>1</v>
      </c>
      <c r="C1" s="976" t="s">
        <v>239</v>
      </c>
      <c r="D1" s="977" t="s">
        <v>56</v>
      </c>
    </row>
    <row r="2" spans="1:4">
      <c r="A2" s="978">
        <v>1</v>
      </c>
      <c r="B2" s="979" t="s">
        <v>240</v>
      </c>
      <c r="C2" s="980">
        <v>450000000</v>
      </c>
      <c r="D2" s="981" t="s">
        <v>241</v>
      </c>
    </row>
    <row r="3" spans="1:4">
      <c r="A3" s="978">
        <v>2</v>
      </c>
      <c r="B3" s="979" t="s">
        <v>242</v>
      </c>
      <c r="C3" s="979">
        <v>20</v>
      </c>
      <c r="D3" s="981" t="s">
        <v>243</v>
      </c>
    </row>
    <row r="4" spans="1:4" ht="13.9" thickBot="1">
      <c r="A4" s="982">
        <v>3</v>
      </c>
      <c r="B4" s="983" t="s">
        <v>244</v>
      </c>
      <c r="C4" s="984">
        <f>PRODUCT(C2,C3)</f>
        <v>9000000000</v>
      </c>
      <c r="D4" s="985" t="s">
        <v>176</v>
      </c>
    </row>
    <row r="5" spans="1:4">
      <c r="B5" s="263" t="s">
        <v>245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E5015-8416-479A-A048-FFBD2FC565E8}">
  <dimension ref="A1:AK16"/>
  <sheetViews>
    <sheetView zoomScale="130" zoomScaleNormal="130" workbookViewId="0">
      <selection activeCell="K2" sqref="K2:T16"/>
    </sheetView>
  </sheetViews>
  <sheetFormatPr defaultColWidth="11.375" defaultRowHeight="13.9"/>
  <cols>
    <col min="1" max="1" width="4.875" style="7" bestFit="1" customWidth="1"/>
    <col min="2" max="2" width="11" style="7" customWidth="1"/>
    <col min="3" max="3" width="9.375" style="7" customWidth="1"/>
    <col min="4" max="4" width="12.5" style="7" customWidth="1"/>
    <col min="5" max="5" width="12.25" style="7" customWidth="1"/>
    <col min="6" max="6" width="11.5" style="7" customWidth="1"/>
    <col min="7" max="7" width="17.75" style="7" customWidth="1"/>
    <col min="8" max="8" width="10.625" style="7" customWidth="1"/>
    <col min="9" max="9" width="11.875" style="6" customWidth="1"/>
    <col min="10" max="10" width="7.625" style="6" customWidth="1"/>
    <col min="11" max="11" width="17" style="7" bestFit="1" customWidth="1"/>
    <col min="12" max="12" width="14.75" style="7" bestFit="1" customWidth="1"/>
    <col min="13" max="13" width="12.125" style="7" bestFit="1" customWidth="1"/>
    <col min="14" max="14" width="14.75" style="7" bestFit="1" customWidth="1"/>
    <col min="15" max="15" width="14.75" style="7" customWidth="1"/>
    <col min="16" max="16" width="13.125" style="7" bestFit="1" customWidth="1"/>
    <col min="17" max="17" width="12" style="7" bestFit="1" customWidth="1"/>
    <col min="18" max="18" width="13.125" style="7" bestFit="1" customWidth="1"/>
    <col min="19" max="19" width="12" style="7" bestFit="1" customWidth="1"/>
    <col min="20" max="20" width="12.25" style="6" bestFit="1" customWidth="1"/>
    <col min="21" max="21" width="7.875" style="6" customWidth="1"/>
    <col min="22" max="22" width="22.25" style="42" customWidth="1"/>
    <col min="23" max="23" width="20.75" style="42" customWidth="1"/>
    <col min="24" max="24" width="13.25" style="42" bestFit="1" customWidth="1"/>
    <col min="25" max="25" width="11.875" style="42" bestFit="1" customWidth="1"/>
    <col min="26" max="26" width="11" style="42" bestFit="1" customWidth="1"/>
    <col min="27" max="27" width="12.375" style="42" bestFit="1" customWidth="1"/>
    <col min="28" max="28" width="13.25" style="42" bestFit="1" customWidth="1"/>
    <col min="29" max="29" width="12.375" style="42" bestFit="1" customWidth="1"/>
    <col min="30" max="30" width="13.25" style="42" bestFit="1" customWidth="1"/>
    <col min="31" max="31" width="11.875" style="42" bestFit="1" customWidth="1"/>
    <col min="32" max="32" width="15.125" style="42" bestFit="1" customWidth="1"/>
    <col min="33" max="33" width="11.875" style="42" customWidth="1"/>
    <col min="34" max="34" width="13.125" style="42" bestFit="1" customWidth="1"/>
    <col min="35" max="35" width="11" style="42" bestFit="1" customWidth="1"/>
    <col min="36" max="36" width="12.125" style="42" customWidth="1"/>
    <col min="37" max="37" width="11" style="42" bestFit="1" customWidth="1"/>
    <col min="38" max="16384" width="11.375" style="42"/>
  </cols>
  <sheetData>
    <row r="1" spans="1:37" ht="14.45" thickBot="1">
      <c r="A1" s="1655" t="s">
        <v>47</v>
      </c>
      <c r="B1" s="1655"/>
      <c r="C1" s="1655"/>
      <c r="D1" s="1655"/>
      <c r="E1" s="1655"/>
      <c r="F1" s="1655"/>
      <c r="G1" s="1655"/>
      <c r="H1" s="1655"/>
      <c r="I1" s="1655"/>
      <c r="J1" s="1527"/>
      <c r="K1" s="1655"/>
      <c r="L1" s="1655"/>
      <c r="M1" s="1655"/>
      <c r="N1" s="1655"/>
      <c r="O1" s="1655"/>
      <c r="P1" s="1655"/>
      <c r="Q1" s="1655"/>
      <c r="R1" s="1655"/>
      <c r="S1" s="1655"/>
      <c r="T1" s="1655"/>
      <c r="U1" s="1527"/>
      <c r="V1" s="1655"/>
      <c r="W1" s="1655"/>
      <c r="X1" s="1655"/>
      <c r="Y1" s="1655"/>
      <c r="Z1" s="1655"/>
      <c r="AA1" s="1655"/>
      <c r="AB1" s="1655"/>
      <c r="AC1" s="1655"/>
      <c r="AD1" s="1655"/>
      <c r="AE1" s="1655"/>
      <c r="AF1" s="1655"/>
      <c r="AG1" s="1655"/>
      <c r="AH1" s="1655"/>
      <c r="AI1" s="1655"/>
      <c r="AJ1" s="1655"/>
      <c r="AK1" s="1655"/>
    </row>
    <row r="2" spans="1:37">
      <c r="A2" s="1651" t="s">
        <v>247</v>
      </c>
      <c r="B2" s="1657" t="s">
        <v>575</v>
      </c>
      <c r="C2" s="1648" t="s">
        <v>556</v>
      </c>
      <c r="D2" s="1648" t="s">
        <v>758</v>
      </c>
      <c r="E2" s="1648" t="s">
        <v>729</v>
      </c>
      <c r="F2" s="1648" t="s">
        <v>759</v>
      </c>
      <c r="G2" s="1648"/>
      <c r="H2" s="1648"/>
      <c r="I2" s="1649"/>
      <c r="J2" s="1000"/>
      <c r="K2" s="1651" t="s">
        <v>760</v>
      </c>
      <c r="L2" s="1648"/>
      <c r="M2" s="1648"/>
      <c r="N2" s="1648"/>
      <c r="O2" s="1648"/>
      <c r="P2" s="1648"/>
      <c r="Q2" s="1648"/>
      <c r="R2" s="1648"/>
      <c r="S2" s="1648"/>
      <c r="T2" s="1649"/>
      <c r="U2" s="1000"/>
      <c r="V2" s="1651" t="s">
        <v>712</v>
      </c>
      <c r="W2" s="1648"/>
      <c r="X2" s="1648"/>
      <c r="Y2" s="1648"/>
      <c r="Z2" s="1648"/>
      <c r="AA2" s="1648"/>
      <c r="AB2" s="1648"/>
      <c r="AC2" s="1648"/>
      <c r="AD2" s="1648"/>
      <c r="AE2" s="1649"/>
      <c r="AF2" s="1652" t="s">
        <v>761</v>
      </c>
      <c r="AG2" s="1653"/>
      <c r="AH2" s="1653"/>
      <c r="AI2" s="1653"/>
      <c r="AJ2" s="1653"/>
      <c r="AK2" s="1654"/>
    </row>
    <row r="3" spans="1:37">
      <c r="A3" s="1656"/>
      <c r="B3" s="1552"/>
      <c r="C3" s="1519"/>
      <c r="D3" s="1519"/>
      <c r="E3" s="1519"/>
      <c r="F3" s="1519"/>
      <c r="G3" s="1519"/>
      <c r="H3" s="1519"/>
      <c r="I3" s="1650"/>
      <c r="J3" s="1001"/>
      <c r="K3" s="1656"/>
      <c r="L3" s="1519"/>
      <c r="M3" s="1519"/>
      <c r="N3" s="1519"/>
      <c r="O3" s="1519"/>
      <c r="P3" s="1519"/>
      <c r="Q3" s="1519"/>
      <c r="R3" s="1519"/>
      <c r="S3" s="1519"/>
      <c r="T3" s="1650"/>
      <c r="U3" s="1001"/>
      <c r="V3" s="1007" t="str">
        <f>'00_Datos_Mercado'!$B$3</f>
        <v xml:space="preserve">a_CS - Creativos </v>
      </c>
      <c r="W3" s="782"/>
      <c r="X3" s="783" t="str">
        <f>'00_Datos_Mercado'!$B$4</f>
        <v>b_CS - General (Comercio + Oficinas + Hospedaje)</v>
      </c>
      <c r="Y3" s="783"/>
      <c r="Z3" s="784" t="str">
        <f>'00_Datos_Mercado'!$B$5</f>
        <v>c_CS - Grandes Superficies</v>
      </c>
      <c r="AA3" s="785"/>
      <c r="AB3" s="786" t="str">
        <f>'00_Datos_Mercado'!$B$6</f>
        <v>d_CS - Torre Empresarial (Oficinas + Hospedaje)</v>
      </c>
      <c r="AC3" s="787"/>
      <c r="AD3" s="988" t="str">
        <f>'00_Datos_Mercado'!$B$7</f>
        <v>e_CS - Innovation (H, CS, Gamers)</v>
      </c>
      <c r="AE3" s="1008"/>
      <c r="AF3" s="1646" t="str">
        <f>'08_ATC_por_USOS'!AA2</f>
        <v>i_RES - No VIS</v>
      </c>
      <c r="AG3" s="1647"/>
      <c r="AH3" s="989" t="s">
        <v>16</v>
      </c>
      <c r="AI3" s="989"/>
      <c r="AJ3" s="990" t="s">
        <v>17</v>
      </c>
      <c r="AK3" s="1012"/>
    </row>
    <row r="4" spans="1:37" ht="27.6">
      <c r="A4" s="1656"/>
      <c r="B4" s="1552"/>
      <c r="C4" s="1519"/>
      <c r="D4" s="1519"/>
      <c r="E4" s="1519"/>
      <c r="F4" s="488" t="s">
        <v>762</v>
      </c>
      <c r="G4" s="488" t="s">
        <v>763</v>
      </c>
      <c r="H4" s="488" t="s">
        <v>556</v>
      </c>
      <c r="I4" s="1427" t="s">
        <v>764</v>
      </c>
      <c r="J4" s="1002"/>
      <c r="K4" s="993" t="s">
        <v>765</v>
      </c>
      <c r="L4" s="1645" t="s">
        <v>766</v>
      </c>
      <c r="M4" s="1645"/>
      <c r="N4" s="1645"/>
      <c r="O4" s="1645"/>
      <c r="P4" s="1645"/>
      <c r="Q4" s="1645"/>
      <c r="R4" s="1645" t="s">
        <v>767</v>
      </c>
      <c r="S4" s="1645"/>
      <c r="T4" s="997" t="s">
        <v>768</v>
      </c>
      <c r="U4" s="1002"/>
      <c r="V4" s="401" t="s">
        <v>730</v>
      </c>
      <c r="W4" s="396" t="s">
        <v>732</v>
      </c>
      <c r="X4" s="396" t="s">
        <v>730</v>
      </c>
      <c r="Y4" s="396" t="s">
        <v>733</v>
      </c>
      <c r="Z4" s="396" t="s">
        <v>730</v>
      </c>
      <c r="AA4" s="396" t="s">
        <v>734</v>
      </c>
      <c r="AB4" s="396" t="s">
        <v>730</v>
      </c>
      <c r="AC4" s="396" t="s">
        <v>734</v>
      </c>
      <c r="AD4" s="396" t="s">
        <v>730</v>
      </c>
      <c r="AE4" s="402" t="s">
        <v>733</v>
      </c>
      <c r="AF4" s="401" t="s">
        <v>730</v>
      </c>
      <c r="AG4" s="396" t="s">
        <v>735</v>
      </c>
      <c r="AH4" s="396" t="s">
        <v>730</v>
      </c>
      <c r="AI4" s="396" t="s">
        <v>736</v>
      </c>
      <c r="AJ4" s="396" t="s">
        <v>730</v>
      </c>
      <c r="AK4" s="402" t="s">
        <v>737</v>
      </c>
    </row>
    <row r="5" spans="1:37">
      <c r="A5" s="993"/>
      <c r="B5" s="369"/>
      <c r="C5" s="369"/>
      <c r="D5" s="372" t="str">
        <f>IF(D8='07c_ATC_Ajustado'!M7,"ok","error")</f>
        <v>ok</v>
      </c>
      <c r="E5" s="372"/>
      <c r="F5" s="986">
        <v>0.1</v>
      </c>
      <c r="G5" s="987">
        <v>25</v>
      </c>
      <c r="H5" s="987"/>
      <c r="I5" s="994"/>
      <c r="J5" s="1003"/>
      <c r="K5" s="1005">
        <v>0.1</v>
      </c>
      <c r="L5" s="986" t="s">
        <v>769</v>
      </c>
      <c r="M5" s="986"/>
      <c r="N5" s="1644" t="s">
        <v>770</v>
      </c>
      <c r="O5" s="1644"/>
      <c r="P5" s="1644" t="s">
        <v>771</v>
      </c>
      <c r="Q5" s="1644"/>
      <c r="R5" s="986"/>
      <c r="S5" s="987">
        <v>25</v>
      </c>
      <c r="T5" s="994"/>
      <c r="U5" s="1003"/>
      <c r="V5" s="1009"/>
      <c r="W5" s="788">
        <f>'00_Datos_Mercado'!L3</f>
        <v>70</v>
      </c>
      <c r="X5" s="992"/>
      <c r="Y5" s="788">
        <f>'00_Datos_Mercado'!L4</f>
        <v>70</v>
      </c>
      <c r="Z5" s="992"/>
      <c r="AA5" s="991" t="s">
        <v>49</v>
      </c>
      <c r="AB5" s="992"/>
      <c r="AC5" s="788">
        <f>'00_Datos_Mercado'!L6</f>
        <v>150</v>
      </c>
      <c r="AD5" s="992"/>
      <c r="AE5" s="1010">
        <f>'00_Datos_Mercado'!L7</f>
        <v>50</v>
      </c>
      <c r="AF5" s="1013"/>
      <c r="AG5" s="788"/>
      <c r="AH5" s="375"/>
      <c r="AI5" s="789">
        <f>'00_Datos_Mercado'!N8</f>
        <v>42</v>
      </c>
      <c r="AJ5" s="790"/>
      <c r="AK5" s="1014">
        <f>'00_Datos_Mercado'!L8</f>
        <v>48</v>
      </c>
    </row>
    <row r="6" spans="1:37">
      <c r="A6" s="993"/>
      <c r="B6" s="369"/>
      <c r="C6" s="369"/>
      <c r="D6" s="372"/>
      <c r="E6" s="372"/>
      <c r="F6" s="986"/>
      <c r="G6" s="987"/>
      <c r="H6" s="987"/>
      <c r="I6" s="994"/>
      <c r="J6" s="1003"/>
      <c r="K6" s="1005"/>
      <c r="L6" s="986"/>
      <c r="M6" s="986"/>
      <c r="N6" s="789" t="s">
        <v>164</v>
      </c>
      <c r="O6" s="789" t="s">
        <v>254</v>
      </c>
      <c r="P6" s="789" t="s">
        <v>164</v>
      </c>
      <c r="Q6" s="789" t="s">
        <v>254</v>
      </c>
      <c r="R6" s="986"/>
      <c r="S6" s="987"/>
      <c r="T6" s="994"/>
      <c r="U6" s="1003"/>
      <c r="V6" s="1009"/>
      <c r="W6" s="788"/>
      <c r="X6" s="992"/>
      <c r="Y6" s="788"/>
      <c r="Z6" s="992"/>
      <c r="AA6" s="991"/>
      <c r="AB6" s="992"/>
      <c r="AC6" s="788"/>
      <c r="AD6" s="992"/>
      <c r="AE6" s="1010"/>
      <c r="AF6" s="1013"/>
      <c r="AG6" s="788"/>
      <c r="AH6" s="375"/>
      <c r="AI6" s="789"/>
      <c r="AJ6" s="790"/>
      <c r="AK6" s="1014"/>
    </row>
    <row r="7" spans="1:37" s="162" customFormat="1">
      <c r="A7" s="403"/>
      <c r="B7" s="398"/>
      <c r="C7" s="398"/>
      <c r="D7" s="398"/>
      <c r="E7" s="398"/>
      <c r="F7" s="791"/>
      <c r="G7" s="791"/>
      <c r="H7" s="791"/>
      <c r="I7" s="995"/>
      <c r="J7" s="1004"/>
      <c r="K7" s="1006"/>
      <c r="L7" s="791"/>
      <c r="M7" s="791"/>
      <c r="N7" s="398"/>
      <c r="O7" s="788">
        <v>1.5</v>
      </c>
      <c r="P7" s="398"/>
      <c r="Q7" s="788">
        <v>25</v>
      </c>
      <c r="R7" s="791"/>
      <c r="S7" s="791"/>
      <c r="T7" s="995"/>
      <c r="U7" s="1004"/>
      <c r="V7" s="403">
        <f>V8/$D$8</f>
        <v>2.6045437940907828E-2</v>
      </c>
      <c r="W7" s="398"/>
      <c r="X7" s="398">
        <f t="shared" ref="X7:AD7" si="0">X8/$D$8</f>
        <v>8.7568699586783913E-2</v>
      </c>
      <c r="Y7" s="398"/>
      <c r="Z7" s="398">
        <f t="shared" si="0"/>
        <v>3.7111208557762459E-3</v>
      </c>
      <c r="AA7" s="398"/>
      <c r="AB7" s="398">
        <f t="shared" si="0"/>
        <v>6.382732228346448E-2</v>
      </c>
      <c r="AC7" s="398"/>
      <c r="AD7" s="398">
        <f t="shared" si="0"/>
        <v>8.3003140787632421E-2</v>
      </c>
      <c r="AE7" s="404"/>
      <c r="AF7" s="403"/>
      <c r="AG7" s="398"/>
      <c r="AH7" s="398"/>
      <c r="AI7" s="398"/>
      <c r="AJ7" s="398"/>
      <c r="AK7" s="404"/>
    </row>
    <row r="8" spans="1:37">
      <c r="A8" s="996"/>
      <c r="B8" s="1420">
        <f t="shared" ref="B8:H8" si="1">SUM(B9:B16)</f>
        <v>164776.711307171</v>
      </c>
      <c r="C8" s="1420">
        <f t="shared" si="1"/>
        <v>43948.044250916901</v>
      </c>
      <c r="D8" s="1420">
        <f t="shared" si="1"/>
        <v>1465249.9800832341</v>
      </c>
      <c r="E8" s="1420">
        <f t="shared" si="1"/>
        <v>1185887.7745094637</v>
      </c>
      <c r="F8" s="1421">
        <f t="shared" si="1"/>
        <v>146524.9980083234</v>
      </c>
      <c r="G8" s="1421">
        <f t="shared" si="1"/>
        <v>5860</v>
      </c>
      <c r="H8" s="1421">
        <f t="shared" si="1"/>
        <v>43948.044250916901</v>
      </c>
      <c r="I8" s="1422">
        <f>ROUND(F8/H8,0)</f>
        <v>3</v>
      </c>
      <c r="J8" s="1002"/>
      <c r="K8" s="1428">
        <f>SUM(K9:K16)</f>
        <v>118588.77745094638</v>
      </c>
      <c r="L8" s="399"/>
      <c r="M8" s="1421">
        <f t="shared" ref="M8:S8" si="2">SUM(M9:M16)</f>
        <v>38953.672673544876</v>
      </c>
      <c r="N8" s="1420">
        <f t="shared" si="2"/>
        <v>1592.5</v>
      </c>
      <c r="O8" s="1421">
        <f t="shared" si="2"/>
        <v>1062</v>
      </c>
      <c r="P8" s="1421">
        <f t="shared" si="2"/>
        <v>37361.172673544876</v>
      </c>
      <c r="Q8" s="1420">
        <f t="shared" si="2"/>
        <v>1494</v>
      </c>
      <c r="R8" s="1421">
        <f t="shared" si="2"/>
        <v>79635.104777401488</v>
      </c>
      <c r="S8" s="1420">
        <f t="shared" si="2"/>
        <v>3185</v>
      </c>
      <c r="T8" s="1422">
        <f>ROUND(K8/C8,0)</f>
        <v>3</v>
      </c>
      <c r="U8" s="1002"/>
      <c r="V8" s="405">
        <f>SUM(V9:V16)</f>
        <v>38163.077424174306</v>
      </c>
      <c r="W8" s="399">
        <f t="shared" ref="W8:AK8" si="3">SUM(W9:W16)</f>
        <v>587</v>
      </c>
      <c r="X8" s="399">
        <f t="shared" si="3"/>
        <v>128310.03532544983</v>
      </c>
      <c r="Y8" s="399">
        <f t="shared" si="3"/>
        <v>1358</v>
      </c>
      <c r="Z8" s="399">
        <f t="shared" si="3"/>
        <v>5437.7197600126192</v>
      </c>
      <c r="AA8" s="399">
        <f>SUM(AA9:AA16)</f>
        <v>1</v>
      </c>
      <c r="AB8" s="399">
        <f t="shared" si="3"/>
        <v>93522.982704612499</v>
      </c>
      <c r="AC8" s="399">
        <f t="shared" si="3"/>
        <v>693</v>
      </c>
      <c r="AD8" s="399">
        <f t="shared" si="3"/>
        <v>121620.35038592429</v>
      </c>
      <c r="AE8" s="1011">
        <f t="shared" si="3"/>
        <v>1802</v>
      </c>
      <c r="AF8" s="405">
        <f>SUM(AF9:AF16)</f>
        <v>939073.773904601</v>
      </c>
      <c r="AG8" s="399">
        <f>SUM(AG9:AG16)</f>
        <v>11179</v>
      </c>
      <c r="AH8" s="399">
        <f t="shared" si="3"/>
        <v>102715.46310663175</v>
      </c>
      <c r="AI8" s="399">
        <f t="shared" si="3"/>
        <v>1783</v>
      </c>
      <c r="AJ8" s="399">
        <f t="shared" si="3"/>
        <v>77036.597329973825</v>
      </c>
      <c r="AK8" s="1011">
        <f t="shared" si="3"/>
        <v>1529</v>
      </c>
    </row>
    <row r="9" spans="1:37">
      <c r="A9" s="993">
        <v>1</v>
      </c>
      <c r="B9" s="1423">
        <f>'06_CARGAS'!B8</f>
        <v>17268.248534736002</v>
      </c>
      <c r="C9" s="1423">
        <f>'04c_Resumen_MO'!I6</f>
        <v>2921.1364674728761</v>
      </c>
      <c r="D9" s="1423">
        <f>'08_ATC_por_USOS'!D7</f>
        <v>106329.81169669119</v>
      </c>
      <c r="E9" s="1423">
        <f>'08_ATC_por_USOS'!F7</f>
        <v>78762.823479030529</v>
      </c>
      <c r="F9" s="1423">
        <f>D9*$F$5</f>
        <v>10632.981169669119</v>
      </c>
      <c r="G9" s="1423">
        <f>ROUND(F9/$G$5,0)</f>
        <v>425</v>
      </c>
      <c r="H9" s="1423">
        <f>'04c_Resumen_MO'!I6</f>
        <v>2921.1364674728761</v>
      </c>
      <c r="I9" s="1424">
        <f>ROUND(F9/H9,0)</f>
        <v>4</v>
      </c>
      <c r="J9" s="1000"/>
      <c r="K9" s="1429">
        <f>E9*$K$5</f>
        <v>7876.2823479030531</v>
      </c>
      <c r="L9" s="371">
        <v>0.5</v>
      </c>
      <c r="M9" s="1423">
        <f>K9*L9</f>
        <v>3938.1411739515265</v>
      </c>
      <c r="N9" s="1423">
        <f>S9/2</f>
        <v>79</v>
      </c>
      <c r="O9" s="1423">
        <f>ROUND(N9/$O$7,0)</f>
        <v>53</v>
      </c>
      <c r="P9" s="1423">
        <f>M9-N9</f>
        <v>3859.1411739515265</v>
      </c>
      <c r="Q9" s="1423">
        <f>ROUND(P9/$Q$7,0)</f>
        <v>154</v>
      </c>
      <c r="R9" s="1423">
        <f>K9-M9</f>
        <v>3938.1411739515265</v>
      </c>
      <c r="S9" s="1423">
        <f>ROUND(R9/$G$5,0)</f>
        <v>158</v>
      </c>
      <c r="T9" s="1424">
        <f>ROUND(K9/C9,0)</f>
        <v>3</v>
      </c>
      <c r="U9" s="1000"/>
      <c r="V9" s="406">
        <f>'08_ATC_por_USOS'!G7</f>
        <v>0</v>
      </c>
      <c r="W9" s="370">
        <f>'08_ATC_por_USOS'!J7</f>
        <v>0</v>
      </c>
      <c r="X9" s="370">
        <f>'08_ATC_por_USOS'!K7</f>
        <v>12806.828992078696</v>
      </c>
      <c r="Y9" s="370">
        <f>'08_ATC_por_USOS'!N7</f>
        <v>136</v>
      </c>
      <c r="Z9" s="370">
        <f>'08_ATC_por_USOS'!O7</f>
        <v>0</v>
      </c>
      <c r="AA9" s="370">
        <v>0</v>
      </c>
      <c r="AB9" s="370">
        <f>'08_ATC_por_USOS'!S7</f>
        <v>93522.982704612499</v>
      </c>
      <c r="AC9" s="370">
        <f>'08_ATC_por_USOS'!V7</f>
        <v>693</v>
      </c>
      <c r="AD9" s="370">
        <f>'08_ATC_por_USOS'!W7</f>
        <v>0</v>
      </c>
      <c r="AE9" s="410">
        <f>'08_ATC_por_USOS'!Z7</f>
        <v>0</v>
      </c>
      <c r="AF9" s="406">
        <f>'08_ATC_por_USOS'!AA7</f>
        <v>0</v>
      </c>
      <c r="AG9" s="370">
        <f>'08_ATC_por_USOS'!AD7</f>
        <v>0</v>
      </c>
      <c r="AH9" s="370">
        <f>'08_ATC_por_USOS'!AJ7</f>
        <v>7561.2310539869313</v>
      </c>
      <c r="AI9" s="370">
        <f>'08_ATC_por_USOS'!AM7</f>
        <v>131</v>
      </c>
      <c r="AJ9" s="370">
        <f>'08_ATC_por_USOS'!AN7</f>
        <v>5670.9232904901974</v>
      </c>
      <c r="AK9" s="410">
        <f>'08_ATC_por_USOS'!AQ7</f>
        <v>113</v>
      </c>
    </row>
    <row r="10" spans="1:37">
      <c r="A10" s="993">
        <v>2</v>
      </c>
      <c r="B10" s="1423">
        <f>'06_CARGAS'!B9</f>
        <v>15602.531511536001</v>
      </c>
      <c r="C10" s="1423">
        <f>'04c_Resumen_MO'!I7</f>
        <v>5092.7723828413127</v>
      </c>
      <c r="D10" s="1423">
        <f>'08_ATC_por_USOS'!D8</f>
        <v>181558.4005853156</v>
      </c>
      <c r="E10" s="1423">
        <f>'08_ATC_por_USOS'!F8</f>
        <v>149403.09583164763</v>
      </c>
      <c r="F10" s="1423">
        <f t="shared" ref="F10:F16" si="4">D10*$F$5</f>
        <v>18155.840058531561</v>
      </c>
      <c r="G10" s="1423">
        <f t="shared" ref="G10:G16" si="5">ROUND(F10/$G$5,0)</f>
        <v>726</v>
      </c>
      <c r="H10" s="1423">
        <f>'04c_Resumen_MO'!I7</f>
        <v>5092.7723828413127</v>
      </c>
      <c r="I10" s="1424">
        <f t="shared" ref="I10:I16" si="6">ROUND(F10/H10,0)</f>
        <v>4</v>
      </c>
      <c r="J10" s="1000"/>
      <c r="K10" s="1429">
        <f t="shared" ref="K10:K16" si="7">E10*$K$5</f>
        <v>14940.309583164764</v>
      </c>
      <c r="L10" s="371">
        <v>0.3</v>
      </c>
      <c r="M10" s="1423">
        <f t="shared" ref="M10:M16" si="8">K10*L10</f>
        <v>4482.0928749494287</v>
      </c>
      <c r="N10" s="1423">
        <f t="shared" ref="N10:N16" si="9">S10/2</f>
        <v>209</v>
      </c>
      <c r="O10" s="1423">
        <f t="shared" ref="O10:O16" si="10">ROUND(N10/$O$7,0)</f>
        <v>139</v>
      </c>
      <c r="P10" s="1423">
        <f t="shared" ref="P10:P16" si="11">M10-N10</f>
        <v>4273.0928749494287</v>
      </c>
      <c r="Q10" s="1423">
        <f t="shared" ref="Q10:Q16" si="12">ROUND(P10/$Q$7,0)</f>
        <v>171</v>
      </c>
      <c r="R10" s="1423">
        <f t="shared" ref="R10:R16" si="13">K10-M10</f>
        <v>10458.216708215336</v>
      </c>
      <c r="S10" s="1423">
        <f t="shared" ref="S10:S16" si="14">ROUND(R10/$G$5,0)</f>
        <v>418</v>
      </c>
      <c r="T10" s="1424">
        <f t="shared" ref="T10:T16" si="15">ROUND(K10/C10,0)</f>
        <v>3</v>
      </c>
      <c r="U10" s="1000"/>
      <c r="V10" s="406">
        <f>'08_ATC_por_USOS'!G8</f>
        <v>4234.8390656779975</v>
      </c>
      <c r="W10" s="370">
        <f>'08_ATC_por_USOS'!J8</f>
        <v>65</v>
      </c>
      <c r="X10" s="370">
        <f>'08_ATC_por_USOS'!K8</f>
        <v>17540.358625191864</v>
      </c>
      <c r="Y10" s="370">
        <f>'08_ATC_por_USOS'!N8</f>
        <v>186</v>
      </c>
      <c r="Z10" s="370">
        <f>'08_ATC_por_USOS'!O8</f>
        <v>0</v>
      </c>
      <c r="AA10" s="370">
        <v>0</v>
      </c>
      <c r="AB10" s="370">
        <f>'08_ATC_por_USOS'!S8</f>
        <v>0</v>
      </c>
      <c r="AC10" s="370">
        <f>'08_ATC_por_USOS'!V8</f>
        <v>0</v>
      </c>
      <c r="AD10" s="370">
        <f>'08_ATC_por_USOS'!W8</f>
        <v>0</v>
      </c>
      <c r="AE10" s="410">
        <f>'08_ATC_por_USOS'!Z8</f>
        <v>0</v>
      </c>
      <c r="AF10" s="406">
        <f>'08_ATC_por_USOS'!AA8</f>
        <v>139166.01542419466</v>
      </c>
      <c r="AG10" s="370">
        <f>'08_ATC_por_USOS'!AD8</f>
        <v>1657</v>
      </c>
      <c r="AH10" s="370">
        <f>'08_ATC_por_USOS'!AJ8</f>
        <v>12693.322202218087</v>
      </c>
      <c r="AI10" s="370">
        <f>'08_ATC_por_USOS'!AM8</f>
        <v>220</v>
      </c>
      <c r="AJ10" s="370">
        <f>'08_ATC_por_USOS'!AN8</f>
        <v>9519.9916516635658</v>
      </c>
      <c r="AK10" s="410">
        <f>'08_ATC_por_USOS'!AQ8</f>
        <v>189</v>
      </c>
    </row>
    <row r="11" spans="1:37">
      <c r="A11" s="993">
        <v>3</v>
      </c>
      <c r="B11" s="1423">
        <f>'06_CARGAS'!B10</f>
        <v>19436.47454042</v>
      </c>
      <c r="C11" s="1423">
        <f>'04c_Resumen_MO'!I8</f>
        <v>5431.80275334625</v>
      </c>
      <c r="D11" s="1423">
        <f>'08_ATC_por_USOS'!D9</f>
        <v>191032.84584160295</v>
      </c>
      <c r="E11" s="1423">
        <f>'08_ATC_por_USOS'!F9</f>
        <v>157162.77496128494</v>
      </c>
      <c r="F11" s="1423">
        <f t="shared" si="4"/>
        <v>19103.284584160294</v>
      </c>
      <c r="G11" s="1423">
        <f t="shared" si="5"/>
        <v>764</v>
      </c>
      <c r="H11" s="1423">
        <f>'04c_Resumen_MO'!I8</f>
        <v>5431.80275334625</v>
      </c>
      <c r="I11" s="1424">
        <f t="shared" si="6"/>
        <v>4</v>
      </c>
      <c r="J11" s="1000"/>
      <c r="K11" s="1429">
        <f t="shared" si="7"/>
        <v>15716.277496128496</v>
      </c>
      <c r="L11" s="371">
        <v>0.3</v>
      </c>
      <c r="M11" s="1423">
        <f t="shared" si="8"/>
        <v>4714.8832488385488</v>
      </c>
      <c r="N11" s="1423">
        <f t="shared" si="9"/>
        <v>220</v>
      </c>
      <c r="O11" s="1423">
        <f t="shared" si="10"/>
        <v>147</v>
      </c>
      <c r="P11" s="1423">
        <f t="shared" si="11"/>
        <v>4494.8832488385488</v>
      </c>
      <c r="Q11" s="1423">
        <f t="shared" si="12"/>
        <v>180</v>
      </c>
      <c r="R11" s="1423">
        <f t="shared" si="13"/>
        <v>11001.394247289947</v>
      </c>
      <c r="S11" s="1423">
        <f t="shared" si="14"/>
        <v>440</v>
      </c>
      <c r="T11" s="1424">
        <f t="shared" si="15"/>
        <v>3</v>
      </c>
      <c r="U11" s="1000"/>
      <c r="V11" s="406">
        <f>'08_ATC_por_USOS'!G9</f>
        <v>3864.506853832504</v>
      </c>
      <c r="W11" s="370">
        <f>'08_ATC_por_USOS'!J9</f>
        <v>59</v>
      </c>
      <c r="X11" s="370">
        <f>'08_ATC_por_USOS'!K9</f>
        <v>19262.215170664931</v>
      </c>
      <c r="Y11" s="370">
        <f>'08_ATC_por_USOS'!N9</f>
        <v>204</v>
      </c>
      <c r="Z11" s="370">
        <f>'08_ATC_por_USOS'!O9</f>
        <v>0</v>
      </c>
      <c r="AA11" s="370">
        <v>0</v>
      </c>
      <c r="AB11" s="370">
        <f>'08_ATC_por_USOS'!S9</f>
        <v>0</v>
      </c>
      <c r="AC11" s="370">
        <f>'08_ATC_por_USOS'!V9</f>
        <v>0</v>
      </c>
      <c r="AD11" s="370">
        <f>'08_ATC_por_USOS'!W9</f>
        <v>0</v>
      </c>
      <c r="AE11" s="410">
        <f>'08_ATC_por_USOS'!Z9</f>
        <v>0</v>
      </c>
      <c r="AF11" s="406">
        <f>'08_ATC_por_USOS'!AA9</f>
        <v>146240.81751812415</v>
      </c>
      <c r="AG11" s="370">
        <f>'08_ATC_por_USOS'!AD9</f>
        <v>1741</v>
      </c>
      <c r="AH11" s="370">
        <f>'08_ATC_por_USOS'!AJ9</f>
        <v>13354.401892364849</v>
      </c>
      <c r="AI11" s="370">
        <f>'08_ATC_por_USOS'!AM9</f>
        <v>232</v>
      </c>
      <c r="AJ11" s="370">
        <f>'08_ATC_por_USOS'!AN9</f>
        <v>10015.801419273637</v>
      </c>
      <c r="AK11" s="410">
        <f>'08_ATC_por_USOS'!AQ9</f>
        <v>199</v>
      </c>
    </row>
    <row r="12" spans="1:37">
      <c r="A12" s="993">
        <v>4</v>
      </c>
      <c r="B12" s="1423">
        <f>'06_CARGAS'!B11</f>
        <v>25621.213912839001</v>
      </c>
      <c r="C12" s="1423">
        <f>'04c_Resumen_MO'!I9</f>
        <v>8133.4699118704657</v>
      </c>
      <c r="D12" s="1423">
        <f>'08_ATC_por_USOS'!D10</f>
        <v>274010.04051007587</v>
      </c>
      <c r="E12" s="1423">
        <f>'08_ATC_por_USOS'!F10</f>
        <v>224930.2752019013</v>
      </c>
      <c r="F12" s="1423">
        <f t="shared" si="4"/>
        <v>27401.004051007589</v>
      </c>
      <c r="G12" s="1423">
        <f t="shared" si="5"/>
        <v>1096</v>
      </c>
      <c r="H12" s="1423">
        <f>'04c_Resumen_MO'!I9</f>
        <v>8133.4699118704657</v>
      </c>
      <c r="I12" s="1424">
        <f t="shared" si="6"/>
        <v>3</v>
      </c>
      <c r="J12" s="1000"/>
      <c r="K12" s="1429">
        <f t="shared" si="7"/>
        <v>22493.027520190131</v>
      </c>
      <c r="L12" s="371">
        <v>0.3</v>
      </c>
      <c r="M12" s="1423">
        <f t="shared" si="8"/>
        <v>6747.9082560570396</v>
      </c>
      <c r="N12" s="1423">
        <f t="shared" si="9"/>
        <v>315</v>
      </c>
      <c r="O12" s="1423">
        <f t="shared" si="10"/>
        <v>210</v>
      </c>
      <c r="P12" s="1423">
        <f t="shared" si="11"/>
        <v>6432.9082560570396</v>
      </c>
      <c r="Q12" s="1423">
        <f t="shared" si="12"/>
        <v>257</v>
      </c>
      <c r="R12" s="1423">
        <f t="shared" si="13"/>
        <v>15745.119264133093</v>
      </c>
      <c r="S12" s="1423">
        <f t="shared" si="14"/>
        <v>630</v>
      </c>
      <c r="T12" s="1424">
        <f t="shared" si="15"/>
        <v>3</v>
      </c>
      <c r="U12" s="1000"/>
      <c r="V12" s="406">
        <f>'08_ATC_por_USOS'!G10</f>
        <v>5637.8840491621941</v>
      </c>
      <c r="W12" s="370">
        <f>'08_ATC_por_USOS'!J10</f>
        <v>87</v>
      </c>
      <c r="X12" s="370">
        <f>'08_ATC_por_USOS'!K10</f>
        <v>23152.346346552051</v>
      </c>
      <c r="Y12" s="370">
        <f>'08_ATC_por_USOS'!N10</f>
        <v>245</v>
      </c>
      <c r="Z12" s="370">
        <f>'08_ATC_por_USOS'!O10</f>
        <v>5437.7197600126192</v>
      </c>
      <c r="AA12" s="370">
        <v>1</v>
      </c>
      <c r="AB12" s="370">
        <f>'08_ATC_por_USOS'!S10</f>
        <v>0</v>
      </c>
      <c r="AC12" s="370">
        <f>'08_ATC_por_USOS'!V10</f>
        <v>0</v>
      </c>
      <c r="AD12" s="370">
        <f>'08_ATC_por_USOS'!W10</f>
        <v>0</v>
      </c>
      <c r="AE12" s="410">
        <f>'08_ATC_por_USOS'!Z10</f>
        <v>0</v>
      </c>
      <c r="AF12" s="406">
        <f>'08_ATC_por_USOS'!AA10</f>
        <v>208842.46579249753</v>
      </c>
      <c r="AG12" s="370">
        <f>'08_ATC_por_USOS'!AD10</f>
        <v>2486</v>
      </c>
      <c r="AH12" s="370">
        <f>'08_ATC_por_USOS'!AJ10</f>
        <v>19118.136454434411</v>
      </c>
      <c r="AI12" s="370">
        <f>'08_ATC_por_USOS'!AM10</f>
        <v>332</v>
      </c>
      <c r="AJ12" s="370">
        <f>'08_ATC_por_USOS'!AN10</f>
        <v>14338.602340825806</v>
      </c>
      <c r="AK12" s="410">
        <f>'08_ATC_por_USOS'!AQ10</f>
        <v>284</v>
      </c>
    </row>
    <row r="13" spans="1:37">
      <c r="A13" s="993">
        <v>5</v>
      </c>
      <c r="B13" s="1423">
        <f>'06_CARGAS'!B12</f>
        <v>27038.024665190002</v>
      </c>
      <c r="C13" s="1423">
        <f>'04c_Resumen_MO'!I10</f>
        <v>5998.1154100699305</v>
      </c>
      <c r="D13" s="1423">
        <f>'08_ATC_por_USOS'!D11</f>
        <v>213243.93603916175</v>
      </c>
      <c r="E13" s="1423">
        <f>'08_ATC_por_USOS'!F11</f>
        <v>175491.68237871173</v>
      </c>
      <c r="F13" s="1423">
        <f t="shared" si="4"/>
        <v>21324.393603916178</v>
      </c>
      <c r="G13" s="1423">
        <f t="shared" si="5"/>
        <v>853</v>
      </c>
      <c r="H13" s="1423">
        <f>'04c_Resumen_MO'!I10</f>
        <v>5998.1154100699305</v>
      </c>
      <c r="I13" s="1424">
        <f t="shared" si="6"/>
        <v>4</v>
      </c>
      <c r="J13" s="1000"/>
      <c r="K13" s="1429">
        <f t="shared" si="7"/>
        <v>17549.168237871174</v>
      </c>
      <c r="L13" s="371">
        <v>0.3</v>
      </c>
      <c r="M13" s="1423">
        <f t="shared" si="8"/>
        <v>5264.7504713613516</v>
      </c>
      <c r="N13" s="1423">
        <f t="shared" si="9"/>
        <v>245.5</v>
      </c>
      <c r="O13" s="1423">
        <f t="shared" si="10"/>
        <v>164</v>
      </c>
      <c r="P13" s="1423">
        <f t="shared" si="11"/>
        <v>5019.2504713613516</v>
      </c>
      <c r="Q13" s="1423">
        <f t="shared" si="12"/>
        <v>201</v>
      </c>
      <c r="R13" s="1423">
        <f t="shared" si="13"/>
        <v>12284.417766509821</v>
      </c>
      <c r="S13" s="1423">
        <f t="shared" si="14"/>
        <v>491</v>
      </c>
      <c r="T13" s="1424">
        <f t="shared" si="15"/>
        <v>3</v>
      </c>
      <c r="U13" s="1000"/>
      <c r="V13" s="406">
        <f>'08_ATC_por_USOS'!G11</f>
        <v>5374.6842221436582</v>
      </c>
      <c r="W13" s="370">
        <f>'08_ATC_por_USOS'!J11</f>
        <v>83</v>
      </c>
      <c r="X13" s="370">
        <f>'08_ATC_por_USOS'!K11</f>
        <v>20164.319431654327</v>
      </c>
      <c r="Y13" s="370">
        <f>'08_ATC_por_USOS'!N11</f>
        <v>213</v>
      </c>
      <c r="Z13" s="370">
        <f>'08_ATC_por_USOS'!O11</f>
        <v>0</v>
      </c>
      <c r="AA13" s="370">
        <v>0</v>
      </c>
      <c r="AB13" s="370">
        <f>'08_ATC_por_USOS'!S11</f>
        <v>0</v>
      </c>
      <c r="AC13" s="370">
        <f>'08_ATC_por_USOS'!V11</f>
        <v>0</v>
      </c>
      <c r="AD13" s="370">
        <f>'08_ATC_por_USOS'!W11</f>
        <v>0</v>
      </c>
      <c r="AE13" s="410">
        <f>'08_ATC_por_USOS'!Z11</f>
        <v>0</v>
      </c>
      <c r="AF13" s="406">
        <f>'08_ATC_por_USOS'!AA11</f>
        <v>163484.94110983296</v>
      </c>
      <c r="AG13" s="370">
        <f>'08_ATC_por_USOS'!AD11</f>
        <v>1946</v>
      </c>
      <c r="AH13" s="370">
        <f>'08_ATC_por_USOS'!AJ11</f>
        <v>14909.602206313863</v>
      </c>
      <c r="AI13" s="370">
        <f>'08_ATC_por_USOS'!AM11</f>
        <v>259</v>
      </c>
      <c r="AJ13" s="370">
        <f>'08_ATC_por_USOS'!AN11</f>
        <v>11182.201654735398</v>
      </c>
      <c r="AK13" s="410">
        <f>'08_ATC_por_USOS'!AQ11</f>
        <v>222</v>
      </c>
    </row>
    <row r="14" spans="1:37">
      <c r="A14" s="993">
        <v>6</v>
      </c>
      <c r="B14" s="1423">
        <f>'06_CARGAS'!B13</f>
        <v>21089.89942655</v>
      </c>
      <c r="C14" s="1423">
        <f>'04c_Resumen_MO'!I11</f>
        <v>6680.3983195752862</v>
      </c>
      <c r="D14" s="1423">
        <f>'08_ATC_por_USOS'!D12</f>
        <v>225771.89281067142</v>
      </c>
      <c r="E14" s="1423">
        <f>'08_ATC_por_USOS'!F12</f>
        <v>185697.11607324937</v>
      </c>
      <c r="F14" s="1423">
        <f t="shared" si="4"/>
        <v>22577.189281067142</v>
      </c>
      <c r="G14" s="1423">
        <f t="shared" si="5"/>
        <v>903</v>
      </c>
      <c r="H14" s="1423">
        <f>'04c_Resumen_MO'!I11</f>
        <v>6680.3983195752862</v>
      </c>
      <c r="I14" s="1424">
        <f t="shared" si="6"/>
        <v>3</v>
      </c>
      <c r="J14" s="1000"/>
      <c r="K14" s="1429">
        <f t="shared" si="7"/>
        <v>18569.711607324938</v>
      </c>
      <c r="L14" s="371">
        <v>0.3</v>
      </c>
      <c r="M14" s="1423">
        <f t="shared" si="8"/>
        <v>5570.9134821974812</v>
      </c>
      <c r="N14" s="1423">
        <f t="shared" si="9"/>
        <v>260</v>
      </c>
      <c r="O14" s="1423">
        <f t="shared" si="10"/>
        <v>173</v>
      </c>
      <c r="P14" s="1423">
        <f t="shared" si="11"/>
        <v>5310.9134821974812</v>
      </c>
      <c r="Q14" s="1423">
        <f t="shared" si="12"/>
        <v>212</v>
      </c>
      <c r="R14" s="1423">
        <f t="shared" si="13"/>
        <v>12998.798125127458</v>
      </c>
      <c r="S14" s="1423">
        <f t="shared" si="14"/>
        <v>520</v>
      </c>
      <c r="T14" s="1424">
        <f t="shared" si="15"/>
        <v>3</v>
      </c>
      <c r="U14" s="1000"/>
      <c r="V14" s="406">
        <f>'08_ATC_por_USOS'!G12</f>
        <v>6167.9990278294008</v>
      </c>
      <c r="W14" s="370">
        <f>'08_ATC_por_USOS'!J12</f>
        <v>95</v>
      </c>
      <c r="X14" s="370">
        <f>'08_ATC_por_USOS'!K12</f>
        <v>22148.028531837121</v>
      </c>
      <c r="Y14" s="370">
        <f>'08_ATC_por_USOS'!N12</f>
        <v>234</v>
      </c>
      <c r="Z14" s="370">
        <f>'08_ATC_por_USOS'!O12</f>
        <v>0</v>
      </c>
      <c r="AA14" s="370">
        <v>0</v>
      </c>
      <c r="AB14" s="370">
        <f>'08_ATC_por_USOS'!S12</f>
        <v>0</v>
      </c>
      <c r="AC14" s="370">
        <f>'08_ATC_por_USOS'!V12</f>
        <v>0</v>
      </c>
      <c r="AD14" s="370">
        <f>'08_ATC_por_USOS'!W12</f>
        <v>0</v>
      </c>
      <c r="AE14" s="410">
        <f>'08_ATC_por_USOS'!Z12</f>
        <v>0</v>
      </c>
      <c r="AF14" s="406">
        <f>'08_ATC_por_USOS'!AA12</f>
        <v>171977.68908958489</v>
      </c>
      <c r="AG14" s="370">
        <f>'08_ATC_por_USOS'!AD12</f>
        <v>2047</v>
      </c>
      <c r="AH14" s="370">
        <f>'08_ATC_por_USOS'!AJ12</f>
        <v>15788.669050118337</v>
      </c>
      <c r="AI14" s="370">
        <f>'08_ATC_por_USOS'!AM12</f>
        <v>274</v>
      </c>
      <c r="AJ14" s="370">
        <f>'08_ATC_por_USOS'!AN12</f>
        <v>11841.501787588752</v>
      </c>
      <c r="AK14" s="410">
        <f>'08_ATC_por_USOS'!AQ12</f>
        <v>235</v>
      </c>
    </row>
    <row r="15" spans="1:37">
      <c r="A15" s="993">
        <v>7</v>
      </c>
      <c r="B15" s="1423">
        <f>'06_CARGAS'!B14</f>
        <v>23967.619699999999</v>
      </c>
      <c r="C15" s="1423">
        <f>'04c_Resumen_MO'!I12</f>
        <v>6265.2010167113922</v>
      </c>
      <c r="D15" s="1423">
        <f>'08_ATC_por_USOS'!D13</f>
        <v>151682.70221379091</v>
      </c>
      <c r="E15" s="1423">
        <f>'08_ATC_por_USOS'!F13</f>
        <v>124350.85814962009</v>
      </c>
      <c r="F15" s="1423">
        <f t="shared" si="4"/>
        <v>15168.270221379091</v>
      </c>
      <c r="G15" s="1423">
        <f t="shared" si="5"/>
        <v>607</v>
      </c>
      <c r="H15" s="1423">
        <f>'04c_Resumen_MO'!I12</f>
        <v>6265.2010167113922</v>
      </c>
      <c r="I15" s="1424">
        <f t="shared" si="6"/>
        <v>2</v>
      </c>
      <c r="J15" s="1000"/>
      <c r="K15" s="1429">
        <f t="shared" si="7"/>
        <v>12435.085814962011</v>
      </c>
      <c r="L15" s="371">
        <v>0.3</v>
      </c>
      <c r="M15" s="1423">
        <f t="shared" si="8"/>
        <v>3730.5257444886029</v>
      </c>
      <c r="N15" s="1423">
        <f t="shared" si="9"/>
        <v>174</v>
      </c>
      <c r="O15" s="1423">
        <f t="shared" si="10"/>
        <v>116</v>
      </c>
      <c r="P15" s="1423">
        <f t="shared" si="11"/>
        <v>3556.5257444886029</v>
      </c>
      <c r="Q15" s="1423">
        <f t="shared" si="12"/>
        <v>142</v>
      </c>
      <c r="R15" s="1423">
        <f t="shared" si="13"/>
        <v>8704.5600704734079</v>
      </c>
      <c r="S15" s="1423">
        <f t="shared" si="14"/>
        <v>348</v>
      </c>
      <c r="T15" s="1424">
        <f t="shared" si="15"/>
        <v>2</v>
      </c>
      <c r="U15" s="1000"/>
      <c r="V15" s="406">
        <f>'08_ATC_por_USOS'!G13</f>
        <v>12883.164205528557</v>
      </c>
      <c r="W15" s="370">
        <f>'08_ATC_por_USOS'!J13</f>
        <v>198</v>
      </c>
      <c r="X15" s="370">
        <f>'08_ATC_por_USOS'!K13</f>
        <v>13235.938227470848</v>
      </c>
      <c r="Y15" s="370">
        <f>'08_ATC_por_USOS'!N13</f>
        <v>140</v>
      </c>
      <c r="Z15" s="370">
        <f>'08_ATC_por_USOS'!O13</f>
        <v>0</v>
      </c>
      <c r="AA15" s="370">
        <v>0</v>
      </c>
      <c r="AB15" s="370">
        <f>'08_ATC_por_USOS'!S13</f>
        <v>0</v>
      </c>
      <c r="AC15" s="370">
        <f>'08_ATC_por_USOS'!V13</f>
        <v>0</v>
      </c>
      <c r="AD15" s="370">
        <f>'08_ATC_por_USOS'!W13</f>
        <v>0</v>
      </c>
      <c r="AE15" s="410">
        <f>'08_ATC_por_USOS'!Z13</f>
        <v>0</v>
      </c>
      <c r="AF15" s="406">
        <f>'08_ATC_por_USOS'!AA13</f>
        <v>109361.84497036679</v>
      </c>
      <c r="AG15" s="370">
        <f>'08_ATC_por_USOS'!AD13</f>
        <v>1302</v>
      </c>
      <c r="AH15" s="370">
        <f>'08_ATC_por_USOS'!AJ13</f>
        <v>10641.541997529548</v>
      </c>
      <c r="AI15" s="370">
        <f>'08_ATC_por_USOS'!AM13</f>
        <v>185</v>
      </c>
      <c r="AJ15" s="370">
        <f>'08_ATC_por_USOS'!AN13</f>
        <v>7981.156498147162</v>
      </c>
      <c r="AK15" s="410">
        <f>'08_ATC_por_USOS'!AQ13</f>
        <v>158</v>
      </c>
    </row>
    <row r="16" spans="1:37" ht="14.45" thickBot="1">
      <c r="A16" s="998">
        <v>8</v>
      </c>
      <c r="B16" s="1425">
        <f>'06_CARGAS'!B15</f>
        <v>14752.6990159</v>
      </c>
      <c r="C16" s="1425">
        <f>'04c_Resumen_MO'!I13</f>
        <v>3425.1479890293858</v>
      </c>
      <c r="D16" s="1425">
        <f>'08_ATC_por_USOS'!D14</f>
        <v>121620.35038592429</v>
      </c>
      <c r="E16" s="1425">
        <f>'08_ATC_por_USOS'!F14</f>
        <v>90089.148434017989</v>
      </c>
      <c r="F16" s="1425">
        <f t="shared" si="4"/>
        <v>12162.03503859243</v>
      </c>
      <c r="G16" s="1425">
        <f t="shared" si="5"/>
        <v>486</v>
      </c>
      <c r="H16" s="1425">
        <f>'04c_Resumen_MO'!I13</f>
        <v>3425.1479890293858</v>
      </c>
      <c r="I16" s="1426">
        <f t="shared" si="6"/>
        <v>4</v>
      </c>
      <c r="J16" s="1000"/>
      <c r="K16" s="1430">
        <f t="shared" si="7"/>
        <v>9008.9148434017989</v>
      </c>
      <c r="L16" s="999">
        <v>0.5</v>
      </c>
      <c r="M16" s="1425">
        <f t="shared" si="8"/>
        <v>4504.4574217008994</v>
      </c>
      <c r="N16" s="1425">
        <f t="shared" si="9"/>
        <v>90</v>
      </c>
      <c r="O16" s="1425">
        <f t="shared" si="10"/>
        <v>60</v>
      </c>
      <c r="P16" s="1425">
        <f t="shared" si="11"/>
        <v>4414.4574217008994</v>
      </c>
      <c r="Q16" s="1425">
        <f t="shared" si="12"/>
        <v>177</v>
      </c>
      <c r="R16" s="1425">
        <f t="shared" si="13"/>
        <v>4504.4574217008994</v>
      </c>
      <c r="S16" s="1425">
        <f t="shared" si="14"/>
        <v>180</v>
      </c>
      <c r="T16" s="1426">
        <f t="shared" si="15"/>
        <v>3</v>
      </c>
      <c r="U16" s="1000"/>
      <c r="V16" s="407">
        <f>'08_ATC_por_USOS'!G14</f>
        <v>0</v>
      </c>
      <c r="W16" s="408">
        <f>'08_ATC_por_USOS'!J14</f>
        <v>0</v>
      </c>
      <c r="X16" s="408">
        <f>'08_ATC_por_USOS'!K14</f>
        <v>0</v>
      </c>
      <c r="Y16" s="408">
        <f>'08_ATC_por_USOS'!N14</f>
        <v>0</v>
      </c>
      <c r="Z16" s="408">
        <f>'08_ATC_por_USOS'!O14</f>
        <v>0</v>
      </c>
      <c r="AA16" s="408">
        <v>0</v>
      </c>
      <c r="AB16" s="408">
        <f>'08_ATC_por_USOS'!S14</f>
        <v>0</v>
      </c>
      <c r="AC16" s="408">
        <f>'08_ATC_por_USOS'!V14</f>
        <v>0</v>
      </c>
      <c r="AD16" s="408">
        <f>'08_ATC_por_USOS'!W14</f>
        <v>121620.35038592429</v>
      </c>
      <c r="AE16" s="411">
        <f>'08_ATC_por_USOS'!Z14</f>
        <v>1802</v>
      </c>
      <c r="AF16" s="407">
        <f>'08_ATC_por_USOS'!AA14</f>
        <v>0</v>
      </c>
      <c r="AG16" s="408">
        <f>'08_ATC_por_USOS'!AD14</f>
        <v>0</v>
      </c>
      <c r="AH16" s="408">
        <f>'08_ATC_por_USOS'!AJ14</f>
        <v>8648.5582496657262</v>
      </c>
      <c r="AI16" s="408">
        <f>'08_ATC_por_USOS'!AM14</f>
        <v>150</v>
      </c>
      <c r="AJ16" s="408">
        <f>'08_ATC_por_USOS'!AN14</f>
        <v>6486.4186872492955</v>
      </c>
      <c r="AK16" s="411">
        <f>'08_ATC_por_USOS'!AQ14</f>
        <v>129</v>
      </c>
    </row>
  </sheetData>
  <mergeCells count="15">
    <mergeCell ref="A1:AK1"/>
    <mergeCell ref="R4:S4"/>
    <mergeCell ref="K2:T3"/>
    <mergeCell ref="A2:A4"/>
    <mergeCell ref="B2:B4"/>
    <mergeCell ref="C2:C4"/>
    <mergeCell ref="D2:D4"/>
    <mergeCell ref="N5:O5"/>
    <mergeCell ref="L4:Q4"/>
    <mergeCell ref="AF3:AG3"/>
    <mergeCell ref="P5:Q5"/>
    <mergeCell ref="E2:E4"/>
    <mergeCell ref="F2:I3"/>
    <mergeCell ref="V2:AE2"/>
    <mergeCell ref="AF2:AK2"/>
  </mergeCells>
  <conditionalFormatting sqref="D5:N5 P5 R5:U5 D6:U6">
    <cfRule type="cellIs" dxfId="8" priority="1" operator="equal">
      <formula>"ok"</formula>
    </cfRule>
  </conditionalFormatting>
  <pageMargins left="0.7" right="0.7" top="0.75" bottom="0.75" header="0.3" footer="0.3"/>
  <pageSetup orientation="portrait" horizontalDpi="1200" verticalDpi="1200" r:id="rId1"/>
  <ignoredErrors>
    <ignoredError sqref="I8" 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8F32F-83F8-4E8D-999C-237371FF8FE1}">
  <sheetPr>
    <tabColor rgb="FFFFFF66"/>
  </sheetPr>
  <dimension ref="A1:AC21"/>
  <sheetViews>
    <sheetView zoomScale="115" zoomScaleNormal="115" workbookViewId="0">
      <selection activeCell="AH2" sqref="AH2"/>
    </sheetView>
  </sheetViews>
  <sheetFormatPr defaultColWidth="11.375" defaultRowHeight="13.9"/>
  <cols>
    <col min="1" max="1" width="4.875" style="25" bestFit="1" customWidth="1"/>
    <col min="2" max="2" width="13.125" style="107" bestFit="1" customWidth="1"/>
    <col min="3" max="3" width="13.125" style="107" customWidth="1"/>
    <col min="4" max="4" width="17.75" style="107" bestFit="1" customWidth="1"/>
    <col min="5" max="5" width="12" style="107" bestFit="1" customWidth="1"/>
    <col min="6" max="6" width="15" style="107" bestFit="1" customWidth="1"/>
    <col min="7" max="7" width="12" style="107" bestFit="1" customWidth="1"/>
    <col min="8" max="8" width="13.125" style="107" bestFit="1" customWidth="1"/>
    <col min="9" max="9" width="10.875" style="107" bestFit="1" customWidth="1"/>
    <col min="10" max="11" width="12" style="107" bestFit="1" customWidth="1"/>
    <col min="12" max="12" width="13.125" style="107" bestFit="1" customWidth="1"/>
    <col min="13" max="14" width="12" style="107" bestFit="1" customWidth="1"/>
    <col min="15" max="15" width="16.75" style="107" bestFit="1" customWidth="1"/>
    <col min="16" max="16" width="15" style="107" bestFit="1" customWidth="1"/>
    <col min="17" max="17" width="9.375" style="107" bestFit="1" customWidth="1"/>
    <col min="18" max="18" width="19.75" style="107" bestFit="1" customWidth="1"/>
    <col min="19" max="19" width="21" style="107" bestFit="1" customWidth="1"/>
    <col min="20" max="20" width="18.625" style="107" bestFit="1" customWidth="1"/>
    <col min="21" max="21" width="20.375" style="107" bestFit="1" customWidth="1"/>
    <col min="22" max="22" width="22" style="107" bestFit="1" customWidth="1"/>
    <col min="23" max="23" width="21.75" style="107" bestFit="1" customWidth="1"/>
    <col min="24" max="25" width="19.75" style="107" bestFit="1" customWidth="1"/>
    <col min="26" max="26" width="22" style="107" bestFit="1" customWidth="1"/>
    <col min="27" max="27" width="19.75" style="107" bestFit="1" customWidth="1"/>
    <col min="28" max="28" width="29.625" style="107" bestFit="1" customWidth="1"/>
    <col min="29" max="29" width="5.375" style="180" bestFit="1" customWidth="1"/>
    <col min="30" max="16384" width="11.375" style="107"/>
  </cols>
  <sheetData>
    <row r="1" spans="1:29">
      <c r="A1" s="1660" t="s">
        <v>772</v>
      </c>
      <c r="B1" s="1661"/>
      <c r="C1" s="1661"/>
      <c r="D1" s="1661"/>
      <c r="E1" s="1661"/>
      <c r="F1" s="1661"/>
      <c r="G1" s="1661"/>
      <c r="H1" s="1661"/>
      <c r="I1" s="1661"/>
      <c r="J1" s="1661"/>
      <c r="K1" s="1661"/>
      <c r="L1" s="1661"/>
      <c r="M1" s="1661"/>
      <c r="N1" s="1661"/>
      <c r="O1" s="1661"/>
      <c r="P1" s="1661"/>
      <c r="Q1" s="1661"/>
      <c r="R1" s="1661"/>
      <c r="S1" s="1661"/>
      <c r="T1" s="1661"/>
      <c r="U1" s="1661"/>
      <c r="V1" s="1661"/>
      <c r="W1" s="1661"/>
      <c r="X1" s="1661"/>
      <c r="Y1" s="1661"/>
      <c r="Z1" s="1661"/>
      <c r="AA1" s="1661"/>
      <c r="AB1" s="1661"/>
      <c r="AC1" s="1662"/>
    </row>
    <row r="2" spans="1:29" s="123" customFormat="1" ht="15" customHeight="1">
      <c r="A2" s="1663" t="s">
        <v>247</v>
      </c>
      <c r="B2" s="1552" t="s">
        <v>575</v>
      </c>
      <c r="C2" s="1552" t="s">
        <v>540</v>
      </c>
      <c r="D2" s="1552" t="s">
        <v>773</v>
      </c>
      <c r="E2" s="1552" t="s">
        <v>556</v>
      </c>
      <c r="F2" s="1664" t="s">
        <v>774</v>
      </c>
      <c r="G2" s="1664"/>
      <c r="H2" s="1664"/>
      <c r="I2" s="1664"/>
      <c r="J2" s="1664"/>
      <c r="K2" s="1664"/>
      <c r="L2" s="1664"/>
      <c r="M2" s="1664"/>
      <c r="N2" s="1664"/>
      <c r="O2" s="1664"/>
      <c r="P2" s="1664"/>
      <c r="Q2" s="202"/>
      <c r="R2" s="1552" t="s">
        <v>775</v>
      </c>
      <c r="S2" s="1552"/>
      <c r="T2" s="1552"/>
      <c r="U2" s="1552"/>
      <c r="V2" s="1552"/>
      <c r="W2" s="1552"/>
      <c r="X2" s="1552"/>
      <c r="Y2" s="1552"/>
      <c r="Z2" s="1552"/>
      <c r="AA2" s="1552"/>
      <c r="AB2" s="1552"/>
      <c r="AC2" s="1665"/>
    </row>
    <row r="3" spans="1:29" s="123" customFormat="1">
      <c r="A3" s="1663"/>
      <c r="B3" s="1552"/>
      <c r="C3" s="1552"/>
      <c r="D3" s="1552"/>
      <c r="E3" s="1552"/>
      <c r="F3" s="1664"/>
      <c r="G3" s="1664"/>
      <c r="H3" s="1664"/>
      <c r="I3" s="1664"/>
      <c r="J3" s="1664"/>
      <c r="K3" s="1664"/>
      <c r="L3" s="1664"/>
      <c r="M3" s="1664"/>
      <c r="N3" s="1664"/>
      <c r="O3" s="1664"/>
      <c r="P3" s="1664"/>
      <c r="Q3" s="202"/>
      <c r="R3" s="1552"/>
      <c r="S3" s="1552"/>
      <c r="T3" s="1552"/>
      <c r="U3" s="1552"/>
      <c r="V3" s="1552"/>
      <c r="W3" s="1552"/>
      <c r="X3" s="1552"/>
      <c r="Y3" s="1552"/>
      <c r="Z3" s="1552"/>
      <c r="AA3" s="1552"/>
      <c r="AB3" s="1552"/>
      <c r="AC3" s="1665"/>
    </row>
    <row r="4" spans="1:29" s="125" customFormat="1" ht="26.45">
      <c r="A4" s="1663"/>
      <c r="B4" s="1552"/>
      <c r="C4" s="1552"/>
      <c r="D4" s="1552"/>
      <c r="E4" s="1552"/>
      <c r="F4" s="1664"/>
      <c r="G4" s="1664"/>
      <c r="H4" s="1664"/>
      <c r="I4" s="1664"/>
      <c r="J4" s="1664"/>
      <c r="K4" s="1664"/>
      <c r="L4" s="1664"/>
      <c r="M4" s="1664"/>
      <c r="N4" s="1664"/>
      <c r="O4" s="1664"/>
      <c r="P4" s="1664"/>
      <c r="Q4" s="1015" t="s">
        <v>776</v>
      </c>
      <c r="R4" s="1016">
        <f>'00_Datos_General'!E4</f>
        <v>6500000</v>
      </c>
      <c r="S4" s="1016">
        <f>'00_Datos_General'!E5</f>
        <v>7500000</v>
      </c>
      <c r="T4" s="1016">
        <f>'00_Datos_General'!E6</f>
        <v>3000000</v>
      </c>
      <c r="U4" s="1016">
        <f>'00_Datos_General'!E7</f>
        <v>12000000</v>
      </c>
      <c r="V4" s="1016">
        <f>'00_Datos_General'!E8</f>
        <v>9000000</v>
      </c>
      <c r="W4" s="1016">
        <f>'00_Datos_General'!E9</f>
        <v>7500000</v>
      </c>
      <c r="X4" s="1016">
        <f>'00_Datos_General'!E10</f>
        <v>6383507.8125</v>
      </c>
      <c r="Y4" s="1016">
        <f>'00_Datos_General'!E11</f>
        <v>3751939.2857142859</v>
      </c>
      <c r="Z4" s="1016"/>
      <c r="AA4" s="1016">
        <f>'00_Datos_General'!C26</f>
        <v>50000000</v>
      </c>
      <c r="AB4" s="512"/>
      <c r="AC4" s="1033"/>
    </row>
    <row r="5" spans="1:29" ht="82.9">
      <c r="A5" s="1663"/>
      <c r="B5" s="1552"/>
      <c r="C5" s="1552"/>
      <c r="D5" s="1552"/>
      <c r="E5" s="1552"/>
      <c r="F5" s="268" t="s">
        <v>777</v>
      </c>
      <c r="G5" s="1017" t="str">
        <f>'08_ATC_por_USOS'!G2</f>
        <v xml:space="preserve">a_CS - Creativos </v>
      </c>
      <c r="H5" s="1018" t="str">
        <f>'08_ATC_por_USOS'!K2</f>
        <v>b_CS - General (Comercio + Oficinas + Hospedaje)</v>
      </c>
      <c r="I5" s="1019" t="str">
        <f>'08_ATC_por_USOS'!O2</f>
        <v>c_CS - Grandes Superficies</v>
      </c>
      <c r="J5" s="1020" t="str">
        <f>'08_ATC_por_USOS'!S2</f>
        <v>d_CS - Torre Empresarial (Oficinas + Hospedaje)</v>
      </c>
      <c r="K5" s="1021" t="str">
        <f>'08_ATC_por_USOS'!W2</f>
        <v>e_CS - Innovation (H, CS, Gamers)</v>
      </c>
      <c r="L5" s="1022" t="str">
        <f>'08_ATC_por_USOS'!AA2</f>
        <v>i_RES - No VIS</v>
      </c>
      <c r="M5" s="1023" t="str">
        <f>'08_ATC_por_USOS'!AJ2</f>
        <v>h_VIS_RU</v>
      </c>
      <c r="N5" s="1024" t="str">
        <f>'08_ATC_por_USOS'!AN2</f>
        <v>i_VIP RU</v>
      </c>
      <c r="O5" s="268" t="s">
        <v>224</v>
      </c>
      <c r="P5" s="268" t="s">
        <v>778</v>
      </c>
      <c r="Q5" s="197"/>
      <c r="R5" s="1025" t="str">
        <f t="shared" ref="R5:Y5" si="0">G5</f>
        <v xml:space="preserve">a_CS - Creativos </v>
      </c>
      <c r="S5" s="318" t="str">
        <f t="shared" si="0"/>
        <v>b_CS - General (Comercio + Oficinas + Hospedaje)</v>
      </c>
      <c r="T5" s="1026" t="str">
        <f t="shared" si="0"/>
        <v>c_CS - Grandes Superficies</v>
      </c>
      <c r="U5" s="1027" t="str">
        <f t="shared" si="0"/>
        <v>d_CS - Torre Empresarial (Oficinas + Hospedaje)</v>
      </c>
      <c r="V5" s="1028" t="str">
        <f t="shared" si="0"/>
        <v>e_CS - Innovation (H, CS, Gamers)</v>
      </c>
      <c r="W5" s="394" t="str">
        <f t="shared" si="0"/>
        <v>i_RES - No VIS</v>
      </c>
      <c r="X5" s="1029" t="str">
        <f t="shared" si="0"/>
        <v>h_VIS_RU</v>
      </c>
      <c r="Y5" s="319" t="str">
        <f t="shared" si="0"/>
        <v>i_VIP RU</v>
      </c>
      <c r="Z5" s="1030" t="s">
        <v>779</v>
      </c>
      <c r="AA5" s="1030" t="s">
        <v>780</v>
      </c>
      <c r="AB5" s="1658" t="s">
        <v>781</v>
      </c>
      <c r="AC5" s="1659"/>
    </row>
    <row r="6" spans="1:29" s="167" customFormat="1">
      <c r="A6" s="1034"/>
      <c r="B6" s="193" t="s">
        <v>164</v>
      </c>
      <c r="C6" s="193"/>
      <c r="D6" s="193" t="s">
        <v>164</v>
      </c>
      <c r="E6" s="193" t="s">
        <v>164</v>
      </c>
      <c r="F6" s="193" t="s">
        <v>164</v>
      </c>
      <c r="G6" s="193" t="s">
        <v>164</v>
      </c>
      <c r="H6" s="193" t="s">
        <v>164</v>
      </c>
      <c r="I6" s="193" t="s">
        <v>164</v>
      </c>
      <c r="J6" s="193" t="s">
        <v>164</v>
      </c>
      <c r="K6" s="193" t="s">
        <v>164</v>
      </c>
      <c r="L6" s="193" t="s">
        <v>164</v>
      </c>
      <c r="M6" s="193" t="s">
        <v>164</v>
      </c>
      <c r="N6" s="193" t="s">
        <v>164</v>
      </c>
      <c r="O6" s="417" t="s">
        <v>56</v>
      </c>
      <c r="P6" s="193" t="s">
        <v>164</v>
      </c>
      <c r="Q6" s="198"/>
      <c r="R6" s="320" t="s">
        <v>176</v>
      </c>
      <c r="S6" s="320" t="s">
        <v>176</v>
      </c>
      <c r="T6" s="320" t="s">
        <v>176</v>
      </c>
      <c r="U6" s="320" t="s">
        <v>176</v>
      </c>
      <c r="V6" s="320" t="s">
        <v>176</v>
      </c>
      <c r="W6" s="320" t="s">
        <v>176</v>
      </c>
      <c r="X6" s="320" t="s">
        <v>176</v>
      </c>
      <c r="Y6" s="320" t="s">
        <v>176</v>
      </c>
      <c r="Z6" s="320"/>
      <c r="AA6" s="320" t="s">
        <v>176</v>
      </c>
      <c r="AB6" s="320" t="s">
        <v>176</v>
      </c>
      <c r="AC6" s="1035"/>
    </row>
    <row r="7" spans="1:29" s="168" customFormat="1" ht="20.45">
      <c r="A7" s="1036"/>
      <c r="B7" s="194">
        <f>SUM(B8:B15)</f>
        <v>164776.711307171</v>
      </c>
      <c r="C7" s="194">
        <f t="shared" ref="C7:P7" si="1">SUM(C8:C15)</f>
        <v>107104.86234966114</v>
      </c>
      <c r="D7" s="194">
        <f t="shared" si="1"/>
        <v>57671.848957509857</v>
      </c>
      <c r="E7" s="194">
        <f t="shared" si="1"/>
        <v>43948.044250916901</v>
      </c>
      <c r="F7" s="1031">
        <f t="shared" si="1"/>
        <v>1185887.7745094635</v>
      </c>
      <c r="G7" s="194">
        <f t="shared" si="1"/>
        <v>29356.213403211012</v>
      </c>
      <c r="H7" s="194">
        <f t="shared" si="1"/>
        <v>95044.470611444325</v>
      </c>
      <c r="I7" s="194">
        <f t="shared" si="1"/>
        <v>3625.1465066750798</v>
      </c>
      <c r="J7" s="194">
        <f t="shared" si="1"/>
        <v>69276.283484898158</v>
      </c>
      <c r="K7" s="194">
        <f t="shared" si="1"/>
        <v>90089.148434017989</v>
      </c>
      <c r="L7" s="194">
        <f t="shared" si="1"/>
        <v>748703.12837204558</v>
      </c>
      <c r="M7" s="194">
        <f t="shared" si="1"/>
        <v>85596.219255526463</v>
      </c>
      <c r="N7" s="194">
        <f t="shared" si="1"/>
        <v>64197.164441644862</v>
      </c>
      <c r="O7" s="194">
        <f t="shared" si="1"/>
        <v>3185</v>
      </c>
      <c r="P7" s="1031">
        <f t="shared" si="1"/>
        <v>1185887.7745094635</v>
      </c>
      <c r="Q7" s="321"/>
      <c r="R7" s="199">
        <f t="shared" ref="R7:AB7" si="2">SUM(R8:R15)</f>
        <v>190815387120.87158</v>
      </c>
      <c r="S7" s="199">
        <f t="shared" si="2"/>
        <v>712833529585.8324</v>
      </c>
      <c r="T7" s="199">
        <f t="shared" si="2"/>
        <v>10875439520.02524</v>
      </c>
      <c r="U7" s="199">
        <f t="shared" si="2"/>
        <v>831315401818.77795</v>
      </c>
      <c r="V7" s="199">
        <f t="shared" si="2"/>
        <v>810802335906.16187</v>
      </c>
      <c r="W7" s="199">
        <f t="shared" si="2"/>
        <v>5615273462790.3428</v>
      </c>
      <c r="X7" s="199">
        <f t="shared" si="2"/>
        <v>546404134338.11615</v>
      </c>
      <c r="Y7" s="199">
        <f t="shared" si="2"/>
        <v>240863863300.06757</v>
      </c>
      <c r="Z7" s="379">
        <f t="shared" si="2"/>
        <v>8959183554380.1953</v>
      </c>
      <c r="AA7" s="379">
        <f t="shared" si="2"/>
        <v>159250000000</v>
      </c>
      <c r="AB7" s="1032">
        <f t="shared" si="2"/>
        <v>9118433554380.1953</v>
      </c>
      <c r="AC7" s="1037">
        <f>SUM(AC8:AC15)</f>
        <v>1</v>
      </c>
    </row>
    <row r="8" spans="1:29">
      <c r="A8" s="419">
        <v>1</v>
      </c>
      <c r="B8" s="196">
        <f>'04c_Resumen_MO'!B6</f>
        <v>17268.248534736002</v>
      </c>
      <c r="C8" s="196">
        <f>'04c_Resumen_MO'!F6</f>
        <v>12991.359347873164</v>
      </c>
      <c r="D8" s="196">
        <f>'04c_Resumen_MO'!G6</f>
        <v>4276.889186862838</v>
      </c>
      <c r="E8" s="196">
        <f>'04c_Resumen_MO'!I6</f>
        <v>2921.1364674728761</v>
      </c>
      <c r="F8" s="196">
        <f>SUM(G8:N8)</f>
        <v>78762.823479030529</v>
      </c>
      <c r="G8" s="196">
        <f>'08_ATC_por_USOS'!I7</f>
        <v>0</v>
      </c>
      <c r="H8" s="196">
        <f>'08_ATC_por_USOS'!M7</f>
        <v>9486.5399941323667</v>
      </c>
      <c r="I8" s="196">
        <f>'08_ATC_por_USOS'!Q7</f>
        <v>0</v>
      </c>
      <c r="J8" s="196">
        <f>'08_ATC_por_USOS'!U7</f>
        <v>69276.283484898158</v>
      </c>
      <c r="K8" s="196">
        <f>'08_ATC_por_USOS'!Y7</f>
        <v>0</v>
      </c>
      <c r="L8" s="196">
        <f>'08_ATC_por_USOS'!BO7</f>
        <v>0</v>
      </c>
      <c r="M8" s="196">
        <f>'08_ATC_por_USOS'!BA7</f>
        <v>0</v>
      </c>
      <c r="N8" s="196">
        <f>'08_ATC_por_USOS'!BE7</f>
        <v>0</v>
      </c>
      <c r="O8" s="196">
        <f>'11_Estacionamientos'!S9</f>
        <v>158</v>
      </c>
      <c r="P8" s="196">
        <f>SUM(G8:N8)</f>
        <v>78762.823479030529</v>
      </c>
      <c r="Q8" s="197"/>
      <c r="R8" s="200">
        <f t="shared" ref="R8:Y15" si="3">G8*R$4</f>
        <v>0</v>
      </c>
      <c r="S8" s="200">
        <f t="shared" si="3"/>
        <v>71149049955.992752</v>
      </c>
      <c r="T8" s="200">
        <f t="shared" si="3"/>
        <v>0</v>
      </c>
      <c r="U8" s="200">
        <f t="shared" si="3"/>
        <v>831315401818.77795</v>
      </c>
      <c r="V8" s="200">
        <f t="shared" si="3"/>
        <v>0</v>
      </c>
      <c r="W8" s="200">
        <f t="shared" si="3"/>
        <v>0</v>
      </c>
      <c r="X8" s="200">
        <f t="shared" si="3"/>
        <v>0</v>
      </c>
      <c r="Y8" s="200">
        <f t="shared" si="3"/>
        <v>0</v>
      </c>
      <c r="Z8" s="200">
        <f t="shared" ref="Z8:Z15" si="4">SUM(R8:Y8)</f>
        <v>902464451774.77075</v>
      </c>
      <c r="AA8" s="200">
        <f t="shared" ref="AA8:AA15" si="5">O8*AA$4</f>
        <v>7900000000</v>
      </c>
      <c r="AB8" s="260">
        <f>SUM(Z8:AA8)</f>
        <v>910364451774.77075</v>
      </c>
      <c r="AC8" s="1038">
        <f>AB8/AB$7</f>
        <v>9.983781165323749E-2</v>
      </c>
    </row>
    <row r="9" spans="1:29">
      <c r="A9" s="419">
        <v>2</v>
      </c>
      <c r="B9" s="196">
        <f>'04c_Resumen_MO'!B7</f>
        <v>15602.531511536001</v>
      </c>
      <c r="C9" s="196">
        <f>'04c_Resumen_MO'!F7</f>
        <v>8702.187611575433</v>
      </c>
      <c r="D9" s="196">
        <f>'04c_Resumen_MO'!G7</f>
        <v>6900.3438999605678</v>
      </c>
      <c r="E9" s="196">
        <f>'04c_Resumen_MO'!I7</f>
        <v>5092.7723828413127</v>
      </c>
      <c r="F9" s="196">
        <f t="shared" ref="F9:F15" si="6">SUM(G9:N9)</f>
        <v>149403.09583164763</v>
      </c>
      <c r="G9" s="196">
        <f>'08_ATC_por_USOS'!I8</f>
        <v>3257.5685120599983</v>
      </c>
      <c r="H9" s="196">
        <f>'08_ATC_por_USOS'!M8</f>
        <v>12992.858240882862</v>
      </c>
      <c r="I9" s="196">
        <f>'08_ATC_por_USOS'!Q8</f>
        <v>0</v>
      </c>
      <c r="J9" s="196">
        <f>'08_ATC_por_USOS'!U8</f>
        <v>0</v>
      </c>
      <c r="K9" s="196">
        <f>'08_ATC_por_USOS'!Y8</f>
        <v>0</v>
      </c>
      <c r="L9" s="196">
        <f>'08_ATC_por_USOS'!BO8</f>
        <v>111172.8890314543</v>
      </c>
      <c r="M9" s="196">
        <f>'08_ATC_por_USOS'!BA8</f>
        <v>12559.874312714555</v>
      </c>
      <c r="N9" s="196">
        <f>'08_ATC_por_USOS'!BE8</f>
        <v>9419.9057345359179</v>
      </c>
      <c r="O9" s="196">
        <f>'11_Estacionamientos'!S10</f>
        <v>418</v>
      </c>
      <c r="P9" s="196">
        <f t="shared" ref="P9:P15" si="7">SUM(G9:N9)</f>
        <v>149403.09583164763</v>
      </c>
      <c r="Q9" s="197"/>
      <c r="R9" s="200">
        <f t="shared" si="3"/>
        <v>21174195328.389988</v>
      </c>
      <c r="S9" s="200">
        <f t="shared" si="3"/>
        <v>97446436806.621475</v>
      </c>
      <c r="T9" s="200">
        <f t="shared" si="3"/>
        <v>0</v>
      </c>
      <c r="U9" s="200">
        <f t="shared" si="3"/>
        <v>0</v>
      </c>
      <c r="V9" s="200">
        <f t="shared" si="3"/>
        <v>0</v>
      </c>
      <c r="W9" s="200">
        <f t="shared" si="3"/>
        <v>833796667735.90723</v>
      </c>
      <c r="X9" s="200">
        <f t="shared" si="3"/>
        <v>80176055799.23143</v>
      </c>
      <c r="Y9" s="200">
        <f t="shared" si="3"/>
        <v>35342914393.1306</v>
      </c>
      <c r="Z9" s="200">
        <f t="shared" si="4"/>
        <v>1067936270063.2808</v>
      </c>
      <c r="AA9" s="200">
        <f t="shared" si="5"/>
        <v>20900000000</v>
      </c>
      <c r="AB9" s="260">
        <f t="shared" ref="AB9:AB15" si="8">SUM(Z9:AA9)</f>
        <v>1088836270063.2808</v>
      </c>
      <c r="AC9" s="1038">
        <f t="shared" ref="AC9:AC15" si="9">AB9/AB$7</f>
        <v>0.11941045175903482</v>
      </c>
    </row>
    <row r="10" spans="1:29">
      <c r="A10" s="419">
        <v>3</v>
      </c>
      <c r="B10" s="196">
        <f>'04c_Resumen_MO'!B8</f>
        <v>19436.47454042</v>
      </c>
      <c r="C10" s="196">
        <f>'04c_Resumen_MO'!F8</f>
        <v>12077.36637883454</v>
      </c>
      <c r="D10" s="196">
        <f>'04c_Resumen_MO'!G8</f>
        <v>7359.10816158546</v>
      </c>
      <c r="E10" s="196">
        <f>'04c_Resumen_MO'!I8</f>
        <v>5431.80275334625</v>
      </c>
      <c r="F10" s="196">
        <f t="shared" si="6"/>
        <v>157162.77496128494</v>
      </c>
      <c r="G10" s="196">
        <f>'08_ATC_por_USOS'!I9</f>
        <v>2972.6975798711569</v>
      </c>
      <c r="H10" s="196">
        <f>'08_ATC_por_USOS'!M9</f>
        <v>14268.307533825875</v>
      </c>
      <c r="I10" s="196">
        <f>'08_ATC_por_USOS'!Q9</f>
        <v>0</v>
      </c>
      <c r="J10" s="196">
        <f>'08_ATC_por_USOS'!U9</f>
        <v>0</v>
      </c>
      <c r="K10" s="196">
        <f>'08_ATC_por_USOS'!Y9</f>
        <v>0</v>
      </c>
      <c r="L10" s="196">
        <f>'08_ATC_por_USOS'!BO9</f>
        <v>116797.26299425424</v>
      </c>
      <c r="M10" s="196">
        <f>'08_ATC_por_USOS'!BA9</f>
        <v>13214.003916190679</v>
      </c>
      <c r="N10" s="196">
        <f>'08_ATC_por_USOS'!BE9</f>
        <v>9910.5029371430101</v>
      </c>
      <c r="O10" s="196">
        <f>'11_Estacionamientos'!S11</f>
        <v>440</v>
      </c>
      <c r="P10" s="196">
        <f t="shared" si="7"/>
        <v>157162.77496128494</v>
      </c>
      <c r="Q10" s="197"/>
      <c r="R10" s="200">
        <f t="shared" si="3"/>
        <v>19322534269.162521</v>
      </c>
      <c r="S10" s="200">
        <f t="shared" si="3"/>
        <v>107012306503.69406</v>
      </c>
      <c r="T10" s="200">
        <f t="shared" si="3"/>
        <v>0</v>
      </c>
      <c r="U10" s="200">
        <f t="shared" si="3"/>
        <v>0</v>
      </c>
      <c r="V10" s="200">
        <f t="shared" si="3"/>
        <v>0</v>
      </c>
      <c r="W10" s="200">
        <f t="shared" si="3"/>
        <v>875979472456.90686</v>
      </c>
      <c r="X10" s="200">
        <f t="shared" si="3"/>
        <v>84351697233.408798</v>
      </c>
      <c r="Y10" s="200">
        <f t="shared" si="3"/>
        <v>37183605311.05368</v>
      </c>
      <c r="Z10" s="200">
        <f t="shared" si="4"/>
        <v>1123849615774.2258</v>
      </c>
      <c r="AA10" s="200">
        <f t="shared" si="5"/>
        <v>22000000000</v>
      </c>
      <c r="AB10" s="260">
        <f t="shared" si="8"/>
        <v>1145849615774.2258</v>
      </c>
      <c r="AC10" s="1038">
        <f t="shared" si="9"/>
        <v>0.12566298903651027</v>
      </c>
    </row>
    <row r="11" spans="1:29">
      <c r="A11" s="419">
        <v>4</v>
      </c>
      <c r="B11" s="196">
        <f>'04c_Resumen_MO'!B9</f>
        <v>25621.213912839001</v>
      </c>
      <c r="C11" s="196">
        <f>'04c_Resumen_MO'!F9</f>
        <v>15182.673262073222</v>
      </c>
      <c r="D11" s="196">
        <f>'04c_Resumen_MO'!G9</f>
        <v>10438.540650765779</v>
      </c>
      <c r="E11" s="196">
        <f>'04c_Resumen_MO'!I9</f>
        <v>8133.4699118704657</v>
      </c>
      <c r="F11" s="196">
        <f t="shared" si="6"/>
        <v>224930.2752019013</v>
      </c>
      <c r="G11" s="196">
        <f>'08_ATC_por_USOS'!I10</f>
        <v>4336.8338839709186</v>
      </c>
      <c r="H11" s="196">
        <f>'08_ATC_por_USOS'!M10</f>
        <v>17149.886182631148</v>
      </c>
      <c r="I11" s="196">
        <f>'08_ATC_por_USOS'!Q10</f>
        <v>3625.1465066750798</v>
      </c>
      <c r="J11" s="196">
        <f>'08_ATC_por_USOS'!U10</f>
        <v>0</v>
      </c>
      <c r="K11" s="196">
        <f>'08_ATC_por_USOS'!Y10</f>
        <v>0</v>
      </c>
      <c r="L11" s="196">
        <f>'08_ATC_por_USOS'!BO10</f>
        <v>166713.40841769753</v>
      </c>
      <c r="M11" s="196">
        <f>'08_ATC_por_USOS'!BA10</f>
        <v>18917.142977672353</v>
      </c>
      <c r="N11" s="196">
        <f>'08_ATC_por_USOS'!BE10</f>
        <v>14187.857233254264</v>
      </c>
      <c r="O11" s="196">
        <f>'11_Estacionamientos'!S12</f>
        <v>630</v>
      </c>
      <c r="P11" s="196">
        <f t="shared" si="7"/>
        <v>224930.2752019013</v>
      </c>
      <c r="Q11" s="197"/>
      <c r="R11" s="200">
        <f t="shared" si="3"/>
        <v>28189420245.81097</v>
      </c>
      <c r="S11" s="200">
        <f t="shared" si="3"/>
        <v>128624146369.73361</v>
      </c>
      <c r="T11" s="200">
        <f t="shared" si="3"/>
        <v>10875439520.02524</v>
      </c>
      <c r="U11" s="200">
        <f t="shared" si="3"/>
        <v>0</v>
      </c>
      <c r="V11" s="200">
        <f t="shared" si="3"/>
        <v>0</v>
      </c>
      <c r="W11" s="200">
        <f t="shared" si="3"/>
        <v>1250350563132.7314</v>
      </c>
      <c r="X11" s="200">
        <f t="shared" si="3"/>
        <v>120757729988.15097</v>
      </c>
      <c r="Y11" s="200">
        <f t="shared" si="3"/>
        <v>53231978933.552269</v>
      </c>
      <c r="Z11" s="200">
        <f t="shared" si="4"/>
        <v>1592029278190.0044</v>
      </c>
      <c r="AA11" s="200">
        <f t="shared" si="5"/>
        <v>31500000000</v>
      </c>
      <c r="AB11" s="260">
        <f t="shared" si="8"/>
        <v>1623529278190.0044</v>
      </c>
      <c r="AC11" s="1038">
        <f t="shared" si="9"/>
        <v>0.17804914281687279</v>
      </c>
    </row>
    <row r="12" spans="1:29">
      <c r="A12" s="419">
        <v>5</v>
      </c>
      <c r="B12" s="196">
        <f>'04c_Resumen_MO'!B10</f>
        <v>27038.024665190002</v>
      </c>
      <c r="C12" s="196">
        <f>'04c_Resumen_MO'!F10</f>
        <v>18955.861884005404</v>
      </c>
      <c r="D12" s="196">
        <f>'04c_Resumen_MO'!G10</f>
        <v>8082.1627811845974</v>
      </c>
      <c r="E12" s="196">
        <f>'04c_Resumen_MO'!I10</f>
        <v>5998.1154100699305</v>
      </c>
      <c r="F12" s="196">
        <f t="shared" si="6"/>
        <v>175491.6823787117</v>
      </c>
      <c r="G12" s="196">
        <f>'08_ATC_por_USOS'!I11</f>
        <v>4134.3724785720451</v>
      </c>
      <c r="H12" s="196">
        <f>'08_ATC_por_USOS'!M11</f>
        <v>14936.532912336539</v>
      </c>
      <c r="I12" s="196">
        <f>'08_ATC_por_USOS'!Q11</f>
        <v>0</v>
      </c>
      <c r="J12" s="196">
        <f>'08_ATC_por_USOS'!U11</f>
        <v>0</v>
      </c>
      <c r="K12" s="196">
        <f>'08_ATC_por_USOS'!Y11</f>
        <v>0</v>
      </c>
      <c r="L12" s="196">
        <f>'08_ATC_por_USOS'!BO11</f>
        <v>130603.28241341082</v>
      </c>
      <c r="M12" s="196">
        <f>'08_ATC_por_USOS'!BA11</f>
        <v>14752.854042509896</v>
      </c>
      <c r="N12" s="196">
        <f>'08_ATC_por_USOS'!BE11</f>
        <v>11064.640531882424</v>
      </c>
      <c r="O12" s="196">
        <f>'11_Estacionamientos'!S13</f>
        <v>491</v>
      </c>
      <c r="P12" s="196">
        <f t="shared" si="7"/>
        <v>175491.6823787117</v>
      </c>
      <c r="Q12" s="197"/>
      <c r="R12" s="200">
        <f t="shared" si="3"/>
        <v>26873421110.718292</v>
      </c>
      <c r="S12" s="200">
        <f t="shared" si="3"/>
        <v>112023996842.52405</v>
      </c>
      <c r="T12" s="200">
        <f t="shared" si="3"/>
        <v>0</v>
      </c>
      <c r="U12" s="200">
        <f t="shared" si="3"/>
        <v>0</v>
      </c>
      <c r="V12" s="200">
        <f t="shared" si="3"/>
        <v>0</v>
      </c>
      <c r="W12" s="200">
        <f t="shared" si="3"/>
        <v>979524618100.58118</v>
      </c>
      <c r="X12" s="200">
        <f t="shared" si="3"/>
        <v>94174959037.034134</v>
      </c>
      <c r="Y12" s="200">
        <f t="shared" si="3"/>
        <v>41513859493.876274</v>
      </c>
      <c r="Z12" s="200">
        <f t="shared" si="4"/>
        <v>1254110854584.7339</v>
      </c>
      <c r="AA12" s="200">
        <f t="shared" si="5"/>
        <v>24550000000</v>
      </c>
      <c r="AB12" s="260">
        <f t="shared" si="8"/>
        <v>1278660854584.7339</v>
      </c>
      <c r="AC12" s="1038">
        <f t="shared" si="9"/>
        <v>0.14022812657010669</v>
      </c>
    </row>
    <row r="13" spans="1:29">
      <c r="A13" s="419">
        <v>6</v>
      </c>
      <c r="B13" s="196">
        <f>'04c_Resumen_MO'!B11</f>
        <v>21089.89942655</v>
      </c>
      <c r="C13" s="196">
        <f>'04c_Resumen_MO'!F11</f>
        <v>12504.37321928452</v>
      </c>
      <c r="D13" s="196">
        <f>'04c_Resumen_MO'!G11</f>
        <v>8585.5262072654805</v>
      </c>
      <c r="E13" s="196">
        <f>'04c_Resumen_MO'!I11</f>
        <v>6680.3983195752862</v>
      </c>
      <c r="F13" s="196">
        <f t="shared" si="6"/>
        <v>185697.11607324934</v>
      </c>
      <c r="G13" s="196">
        <f>'08_ATC_por_USOS'!I12</f>
        <v>4744.6146367918464</v>
      </c>
      <c r="H13" s="196">
        <f>'08_ATC_por_USOS'!M12</f>
        <v>16405.947060620092</v>
      </c>
      <c r="I13" s="196">
        <f>'08_ATC_por_USOS'!Q12</f>
        <v>0</v>
      </c>
      <c r="J13" s="196">
        <f>'08_ATC_por_USOS'!U12</f>
        <v>0</v>
      </c>
      <c r="K13" s="196">
        <f>'08_ATC_por_USOS'!Y12</f>
        <v>0</v>
      </c>
      <c r="L13" s="196">
        <f>'08_ATC_por_USOS'!BO12</f>
        <v>137206.86603957269</v>
      </c>
      <c r="M13" s="196">
        <f>'08_ATC_por_USOS'!BA12</f>
        <v>15622.679049294135</v>
      </c>
      <c r="N13" s="196">
        <f>'08_ATC_por_USOS'!BE12</f>
        <v>11717.009286970602</v>
      </c>
      <c r="O13" s="196">
        <f>'11_Estacionamientos'!S14</f>
        <v>520</v>
      </c>
      <c r="P13" s="196">
        <f t="shared" si="7"/>
        <v>185697.11607324934</v>
      </c>
      <c r="Q13" s="197"/>
      <c r="R13" s="200">
        <f t="shared" si="3"/>
        <v>30839995139.147003</v>
      </c>
      <c r="S13" s="200">
        <f t="shared" si="3"/>
        <v>123044602954.6507</v>
      </c>
      <c r="T13" s="200">
        <f t="shared" si="3"/>
        <v>0</v>
      </c>
      <c r="U13" s="200">
        <f t="shared" si="3"/>
        <v>0</v>
      </c>
      <c r="V13" s="200">
        <f t="shared" si="3"/>
        <v>0</v>
      </c>
      <c r="W13" s="200">
        <f t="shared" si="3"/>
        <v>1029051495296.7952</v>
      </c>
      <c r="X13" s="200">
        <f t="shared" si="3"/>
        <v>99727493763.349182</v>
      </c>
      <c r="Y13" s="200">
        <f t="shared" si="3"/>
        <v>43961507454.864136</v>
      </c>
      <c r="Z13" s="200">
        <f t="shared" si="4"/>
        <v>1326625094608.8062</v>
      </c>
      <c r="AA13" s="200">
        <f t="shared" si="5"/>
        <v>26000000000</v>
      </c>
      <c r="AB13" s="260">
        <f t="shared" si="8"/>
        <v>1352625094608.8062</v>
      </c>
      <c r="AC13" s="1038">
        <f t="shared" si="9"/>
        <v>0.14833963383535867</v>
      </c>
    </row>
    <row r="14" spans="1:29">
      <c r="A14" s="419">
        <v>7</v>
      </c>
      <c r="B14" s="196">
        <f>'04c_Resumen_MO'!B12</f>
        <v>23967.619699999999</v>
      </c>
      <c r="C14" s="196">
        <f>'04c_Resumen_MO'!F12</f>
        <v>16718.75728048266</v>
      </c>
      <c r="D14" s="196">
        <f>'04c_Resumen_MO'!G12</f>
        <v>7248.8624195173397</v>
      </c>
      <c r="E14" s="196">
        <f>'04c_Resumen_MO'!I12</f>
        <v>6265.2010167113922</v>
      </c>
      <c r="F14" s="196">
        <f t="shared" si="6"/>
        <v>124350.85814962009</v>
      </c>
      <c r="G14" s="196">
        <f>'08_ATC_por_USOS'!I13</f>
        <v>9910.126311945045</v>
      </c>
      <c r="H14" s="196">
        <f>'08_ATC_por_USOS'!M13</f>
        <v>9804.398687015444</v>
      </c>
      <c r="I14" s="196">
        <f>'08_ATC_por_USOS'!Q13</f>
        <v>0</v>
      </c>
      <c r="J14" s="196">
        <f>'08_ATC_por_USOS'!U13</f>
        <v>0</v>
      </c>
      <c r="K14" s="196">
        <f>'08_ATC_por_USOS'!Y13</f>
        <v>0</v>
      </c>
      <c r="L14" s="196">
        <f>'08_ATC_por_USOS'!BO13</f>
        <v>86209.419475656105</v>
      </c>
      <c r="M14" s="196">
        <f>'08_ATC_por_USOS'!BA13</f>
        <v>10529.664957144851</v>
      </c>
      <c r="N14" s="196">
        <f>'08_ATC_por_USOS'!BE13</f>
        <v>7897.2487178586389</v>
      </c>
      <c r="O14" s="196">
        <f>'11_Estacionamientos'!S15</f>
        <v>348</v>
      </c>
      <c r="P14" s="196">
        <f t="shared" si="7"/>
        <v>124350.85814962009</v>
      </c>
      <c r="Q14" s="197"/>
      <c r="R14" s="200">
        <f t="shared" si="3"/>
        <v>64415821027.642792</v>
      </c>
      <c r="S14" s="200">
        <f t="shared" si="3"/>
        <v>73532990152.615829</v>
      </c>
      <c r="T14" s="200">
        <f t="shared" si="3"/>
        <v>0</v>
      </c>
      <c r="U14" s="200">
        <f t="shared" si="3"/>
        <v>0</v>
      </c>
      <c r="V14" s="200">
        <f t="shared" si="3"/>
        <v>0</v>
      </c>
      <c r="W14" s="200">
        <f t="shared" si="3"/>
        <v>646570646067.42078</v>
      </c>
      <c r="X14" s="200">
        <f t="shared" si="3"/>
        <v>67216198516.941635</v>
      </c>
      <c r="Y14" s="200">
        <f t="shared" si="3"/>
        <v>29629997713.590603</v>
      </c>
      <c r="Z14" s="200">
        <f t="shared" si="4"/>
        <v>881365653478.21167</v>
      </c>
      <c r="AA14" s="200">
        <f t="shared" si="5"/>
        <v>17400000000</v>
      </c>
      <c r="AB14" s="260">
        <f t="shared" si="8"/>
        <v>898765653478.21167</v>
      </c>
      <c r="AC14" s="1038">
        <f t="shared" si="9"/>
        <v>9.8565795113621707E-2</v>
      </c>
    </row>
    <row r="15" spans="1:29" ht="14.45" thickBot="1">
      <c r="A15" s="1039">
        <v>8</v>
      </c>
      <c r="B15" s="420">
        <f>'04c_Resumen_MO'!B13</f>
        <v>14752.6990159</v>
      </c>
      <c r="C15" s="420">
        <f>'04c_Resumen_MO'!F13</f>
        <v>9972.2833655322029</v>
      </c>
      <c r="D15" s="420">
        <f>'04c_Resumen_MO'!G13</f>
        <v>4780.4156503677968</v>
      </c>
      <c r="E15" s="420">
        <f>'04c_Resumen_MO'!I13</f>
        <v>3425.1479890293858</v>
      </c>
      <c r="F15" s="420">
        <f t="shared" si="6"/>
        <v>90089.148434017989</v>
      </c>
      <c r="G15" s="420">
        <f>'08_ATC_por_USOS'!I14</f>
        <v>0</v>
      </c>
      <c r="H15" s="420">
        <f>'08_ATC_por_USOS'!M14</f>
        <v>0</v>
      </c>
      <c r="I15" s="420">
        <f>'08_ATC_por_USOS'!Q14</f>
        <v>0</v>
      </c>
      <c r="J15" s="420">
        <f>'08_ATC_por_USOS'!U14</f>
        <v>0</v>
      </c>
      <c r="K15" s="420">
        <f>'08_ATC_por_USOS'!Y14</f>
        <v>90089.148434017989</v>
      </c>
      <c r="L15" s="420">
        <f>'08_ATC_por_USOS'!BO14</f>
        <v>0</v>
      </c>
      <c r="M15" s="420">
        <f>'08_ATC_por_USOS'!BA14</f>
        <v>0</v>
      </c>
      <c r="N15" s="420">
        <f>'08_ATC_por_USOS'!BE14</f>
        <v>0</v>
      </c>
      <c r="O15" s="420">
        <f>'11_Estacionamientos'!S16</f>
        <v>180</v>
      </c>
      <c r="P15" s="420">
        <f t="shared" si="7"/>
        <v>90089.148434017989</v>
      </c>
      <c r="Q15" s="1040"/>
      <c r="R15" s="1041">
        <f t="shared" si="3"/>
        <v>0</v>
      </c>
      <c r="S15" s="1041">
        <f t="shared" si="3"/>
        <v>0</v>
      </c>
      <c r="T15" s="1041">
        <f t="shared" si="3"/>
        <v>0</v>
      </c>
      <c r="U15" s="1041">
        <f t="shared" si="3"/>
        <v>0</v>
      </c>
      <c r="V15" s="1041">
        <f t="shared" si="3"/>
        <v>810802335906.16187</v>
      </c>
      <c r="W15" s="1041">
        <f t="shared" si="3"/>
        <v>0</v>
      </c>
      <c r="X15" s="1041">
        <f t="shared" si="3"/>
        <v>0</v>
      </c>
      <c r="Y15" s="1041">
        <f t="shared" si="3"/>
        <v>0</v>
      </c>
      <c r="Z15" s="1041">
        <f t="shared" si="4"/>
        <v>810802335906.16187</v>
      </c>
      <c r="AA15" s="1041">
        <f t="shared" si="5"/>
        <v>9000000000</v>
      </c>
      <c r="AB15" s="1042">
        <f t="shared" si="8"/>
        <v>819802335906.16187</v>
      </c>
      <c r="AC15" s="1043">
        <f t="shared" si="9"/>
        <v>8.9906049215257577E-2</v>
      </c>
    </row>
    <row r="16" spans="1:29">
      <c r="R16" s="166"/>
      <c r="S16" s="166"/>
      <c r="T16" s="166"/>
      <c r="U16" s="166"/>
      <c r="V16" s="166"/>
      <c r="W16" s="166"/>
      <c r="X16" s="166"/>
      <c r="Y16" s="166"/>
      <c r="Z16" s="166"/>
      <c r="AA16" s="166"/>
    </row>
    <row r="18" spans="21:22">
      <c r="U18" s="165"/>
    </row>
    <row r="21" spans="21:22">
      <c r="V21" s="165"/>
    </row>
  </sheetData>
  <mergeCells count="9">
    <mergeCell ref="AB5:AC5"/>
    <mergeCell ref="A1:AC1"/>
    <mergeCell ref="A2:A5"/>
    <mergeCell ref="B2:B5"/>
    <mergeCell ref="D2:D5"/>
    <mergeCell ref="E2:E5"/>
    <mergeCell ref="C2:C5"/>
    <mergeCell ref="F2:P4"/>
    <mergeCell ref="R2:AC3"/>
  </mergeCells>
  <pageMargins left="0.7" right="0.7" top="0.75" bottom="0.75" header="0.3" footer="0.3"/>
  <pageSetup orientation="portrait" horizontalDpi="1200" verticalDpi="12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C7B8F-D6AC-4FF4-BEA5-2142E4ED3B08}">
  <sheetPr>
    <tabColor rgb="FF7030A0"/>
  </sheetPr>
  <dimension ref="A1:Z17"/>
  <sheetViews>
    <sheetView zoomScale="130" zoomScaleNormal="130" workbookViewId="0">
      <selection activeCell="L3" sqref="L3"/>
    </sheetView>
  </sheetViews>
  <sheetFormatPr defaultColWidth="11" defaultRowHeight="13.9"/>
  <cols>
    <col min="1" max="1" width="4.75" style="40" bestFit="1" customWidth="1"/>
    <col min="2" max="2" width="43" bestFit="1" customWidth="1"/>
    <col min="3" max="3" width="15.125" bestFit="1" customWidth="1"/>
    <col min="4" max="4" width="15.125" customWidth="1"/>
    <col min="5" max="5" width="8" bestFit="1" customWidth="1"/>
    <col min="6" max="6" width="7" bestFit="1" customWidth="1"/>
    <col min="7" max="7" width="6" style="163" bestFit="1" customWidth="1"/>
    <col min="8" max="8" width="13.25" style="163" bestFit="1" customWidth="1"/>
    <col min="9" max="9" width="5.375" style="256" bestFit="1" customWidth="1"/>
    <col min="10" max="10" width="6" style="256" customWidth="1"/>
    <col min="11" max="12" width="11.375" style="254"/>
    <col min="13" max="13" width="11.875" style="255" bestFit="1" customWidth="1"/>
    <col min="14" max="14" width="12" style="255" bestFit="1" customWidth="1"/>
    <col min="15" max="15" width="11.875" style="254" bestFit="1" customWidth="1"/>
    <col min="16" max="16" width="12" style="254" bestFit="1" customWidth="1"/>
    <col min="17" max="17" width="11.875" style="255" bestFit="1" customWidth="1"/>
    <col min="18" max="18" width="12" style="255" bestFit="1" customWidth="1"/>
    <col min="19" max="19" width="11.875" bestFit="1" customWidth="1"/>
    <col min="20" max="20" width="12" bestFit="1" customWidth="1"/>
    <col min="21" max="21" width="11.875" bestFit="1" customWidth="1"/>
    <col min="22" max="22" width="12" bestFit="1" customWidth="1"/>
    <col min="24" max="24" width="12" bestFit="1" customWidth="1"/>
    <col min="26" max="26" width="11.375" style="2"/>
  </cols>
  <sheetData>
    <row r="1" spans="1:26">
      <c r="A1" s="1674" t="s">
        <v>782</v>
      </c>
      <c r="B1" s="1675"/>
      <c r="C1" s="1675"/>
      <c r="D1" s="1675"/>
      <c r="E1" s="1675"/>
      <c r="F1" s="1675"/>
      <c r="G1" s="1675"/>
      <c r="H1" s="1675"/>
      <c r="I1" s="1676"/>
      <c r="J1" s="276"/>
      <c r="K1" s="1669" t="s">
        <v>247</v>
      </c>
      <c r="L1" s="1670"/>
      <c r="M1" s="1670"/>
      <c r="N1" s="1670"/>
      <c r="O1" s="1670"/>
      <c r="P1" s="1670"/>
      <c r="Q1" s="1670"/>
      <c r="R1" s="1670"/>
      <c r="S1" s="1670"/>
      <c r="T1" s="1670"/>
      <c r="U1" s="1670"/>
      <c r="V1" s="1670"/>
      <c r="W1" s="1670"/>
      <c r="X1" s="1670"/>
      <c r="Y1" s="1670"/>
      <c r="Z1" s="1055"/>
    </row>
    <row r="2" spans="1:26">
      <c r="A2" s="1045" t="s">
        <v>0</v>
      </c>
      <c r="B2" s="1044" t="s">
        <v>783</v>
      </c>
      <c r="C2" s="774" t="s">
        <v>784</v>
      </c>
      <c r="D2" s="774" t="s">
        <v>56</v>
      </c>
      <c r="E2" s="774"/>
      <c r="F2" s="774"/>
      <c r="G2" s="774"/>
      <c r="H2" s="1564" t="s">
        <v>785</v>
      </c>
      <c r="I2" s="1668"/>
      <c r="J2" s="269"/>
      <c r="K2" s="1671">
        <v>1</v>
      </c>
      <c r="L2" s="1672"/>
      <c r="M2" s="1673">
        <v>2</v>
      </c>
      <c r="N2" s="1673"/>
      <c r="O2" s="1564">
        <v>3</v>
      </c>
      <c r="P2" s="1564"/>
      <c r="Q2" s="1666">
        <v>4</v>
      </c>
      <c r="R2" s="1666"/>
      <c r="S2" s="1564">
        <v>5</v>
      </c>
      <c r="T2" s="1564"/>
      <c r="U2" s="1666">
        <v>6</v>
      </c>
      <c r="V2" s="1666"/>
      <c r="W2" s="1564">
        <v>7</v>
      </c>
      <c r="X2" s="1564"/>
      <c r="Y2" s="1666">
        <v>8</v>
      </c>
      <c r="Z2" s="1667"/>
    </row>
    <row r="3" spans="1:26">
      <c r="A3" s="1046">
        <v>1</v>
      </c>
      <c r="B3" s="294" t="s">
        <v>785</v>
      </c>
      <c r="C3" s="280"/>
      <c r="D3" s="280"/>
      <c r="E3" s="280"/>
      <c r="F3" s="280"/>
      <c r="G3" s="1048"/>
      <c r="H3" s="1049">
        <f>SUM(H5:H16)</f>
        <v>141172.16291652626</v>
      </c>
      <c r="I3" s="300" t="s">
        <v>164</v>
      </c>
      <c r="J3" s="257"/>
      <c r="K3" s="285"/>
      <c r="L3" s="280">
        <f>SUM(L5:L16)</f>
        <v>6563.5686232525431</v>
      </c>
      <c r="M3" s="280"/>
      <c r="N3" s="280">
        <f>SUM(N5:N16)</f>
        <v>18631.813358343694</v>
      </c>
      <c r="O3" s="280"/>
      <c r="P3" s="280">
        <f>SUM(P5:P16)</f>
        <v>19629.908300423202</v>
      </c>
      <c r="Q3" s="280"/>
      <c r="R3" s="280">
        <f>SUM(R5:R16)</f>
        <v>28403.831599985286</v>
      </c>
      <c r="S3" s="280"/>
      <c r="T3" s="280">
        <f>SUM(T5:T16)</f>
        <v>22009.652417585403</v>
      </c>
      <c r="U3" s="280"/>
      <c r="V3" s="280">
        <f>SUM(V5:V16)</f>
        <v>23297.405063064249</v>
      </c>
      <c r="W3" s="280"/>
      <c r="X3" s="280">
        <f>SUM(X5:X16)</f>
        <v>15128.55451770372</v>
      </c>
      <c r="Y3" s="280"/>
      <c r="Z3" s="286">
        <f>SUM(Z5:Z16)</f>
        <v>7507.4290361681651</v>
      </c>
    </row>
    <row r="4" spans="1:26">
      <c r="A4" s="1046"/>
      <c r="B4" s="294"/>
      <c r="C4" s="280"/>
      <c r="D4" s="280"/>
      <c r="E4" s="280"/>
      <c r="F4" s="280"/>
      <c r="G4" s="1048"/>
      <c r="H4" s="1050"/>
      <c r="I4" s="277"/>
      <c r="J4" s="257"/>
      <c r="K4" s="285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6"/>
    </row>
    <row r="5" spans="1:26">
      <c r="A5" s="1046">
        <v>2</v>
      </c>
      <c r="B5" s="293" t="str">
        <f>'00_Datos_General'!A4</f>
        <v xml:space="preserve">a_CS - Creativos </v>
      </c>
      <c r="C5" s="295">
        <f>SUM(K5,M5,O5,Q5,S5,U5,W5,Y5)</f>
        <v>29356.213403211012</v>
      </c>
      <c r="D5" s="296" t="s">
        <v>164</v>
      </c>
      <c r="E5" s="295">
        <v>120</v>
      </c>
      <c r="F5" s="295">
        <v>10</v>
      </c>
      <c r="G5" s="1051">
        <f>F5/E5</f>
        <v>8.3333333333333329E-2</v>
      </c>
      <c r="H5" s="1052">
        <f>SUM(L5,N5,P5,R5,T5,V5,X5,Z5)</f>
        <v>2446.351116934251</v>
      </c>
      <c r="I5" s="278" t="s">
        <v>164</v>
      </c>
      <c r="J5" s="258"/>
      <c r="K5" s="287">
        <f>'08_ATC_por_USOS'!$I7</f>
        <v>0</v>
      </c>
      <c r="L5" s="281">
        <f>K5*G5</f>
        <v>0</v>
      </c>
      <c r="M5" s="281">
        <f>'08_ATC_por_USOS'!$I8</f>
        <v>3257.5685120599983</v>
      </c>
      <c r="N5" s="281">
        <f>M5*G5</f>
        <v>271.4640426716665</v>
      </c>
      <c r="O5" s="281">
        <f>'08_ATC_por_USOS'!$I9</f>
        <v>2972.6975798711569</v>
      </c>
      <c r="P5" s="281">
        <f>O5*G5</f>
        <v>247.7247983225964</v>
      </c>
      <c r="Q5" s="281">
        <f>'08_ATC_por_USOS'!$I10</f>
        <v>4336.8338839709186</v>
      </c>
      <c r="R5" s="281">
        <f>Q5*G5</f>
        <v>361.40282366424321</v>
      </c>
      <c r="S5" s="281">
        <f>'08_ATC_por_USOS'!$I11</f>
        <v>4134.3724785720451</v>
      </c>
      <c r="T5" s="281">
        <f>S5*G5</f>
        <v>344.53103988100372</v>
      </c>
      <c r="U5" s="281">
        <f>'08_ATC_por_USOS'!$I12</f>
        <v>4744.6146367918464</v>
      </c>
      <c r="V5" s="281">
        <f>U5*G5</f>
        <v>395.38455306598718</v>
      </c>
      <c r="W5" s="281">
        <f>'08_ATC_por_USOS'!$I13</f>
        <v>9910.126311945045</v>
      </c>
      <c r="X5" s="281">
        <f>W5*G5</f>
        <v>825.84385932875375</v>
      </c>
      <c r="Y5" s="281">
        <f>'08_ATC_por_USOS'!$I14</f>
        <v>0</v>
      </c>
      <c r="Z5" s="288">
        <f>Y5*G5</f>
        <v>0</v>
      </c>
    </row>
    <row r="6" spans="1:26">
      <c r="A6" s="1046">
        <v>3</v>
      </c>
      <c r="B6" s="293" t="str">
        <f>'00_Datos_General'!A5</f>
        <v>b_CS - General (Comercio + Oficinas + Hospedaje)</v>
      </c>
      <c r="C6" s="295">
        <f t="shared" ref="C6:C9" si="0">SUM(K6,M6,O6,Q6,S6,U6,W6,Y6)</f>
        <v>95044.470611444325</v>
      </c>
      <c r="D6" s="296" t="s">
        <v>164</v>
      </c>
      <c r="E6" s="295">
        <v>120</v>
      </c>
      <c r="F6" s="295">
        <v>10</v>
      </c>
      <c r="G6" s="1051">
        <f t="shared" ref="G6:G9" si="1">F6/E6</f>
        <v>8.3333333333333329E-2</v>
      </c>
      <c r="H6" s="1052">
        <f t="shared" ref="H6:H9" si="2">SUM(L6,N6,P6,R6,T6,V6,X6,Z6)</f>
        <v>7920.3725509536935</v>
      </c>
      <c r="I6" s="278" t="s">
        <v>164</v>
      </c>
      <c r="J6" s="258"/>
      <c r="K6" s="287">
        <f>'08_ATC_por_USOS'!$M7</f>
        <v>9486.5399941323667</v>
      </c>
      <c r="L6" s="281">
        <f t="shared" ref="L6:L16" si="3">K6*G6</f>
        <v>790.54499951103048</v>
      </c>
      <c r="M6" s="281">
        <f>'08_ATC_por_USOS'!$M8</f>
        <v>12992.858240882862</v>
      </c>
      <c r="N6" s="281">
        <f t="shared" ref="N6:N16" si="4">M6*G6</f>
        <v>1082.7381867402385</v>
      </c>
      <c r="O6" s="281">
        <f>'08_ATC_por_USOS'!$M9</f>
        <v>14268.307533825875</v>
      </c>
      <c r="P6" s="281">
        <f t="shared" ref="P6:P16" si="5">O6*G6</f>
        <v>1189.0256278188228</v>
      </c>
      <c r="Q6" s="281">
        <f>'08_ATC_por_USOS'!$M10</f>
        <v>17149.886182631148</v>
      </c>
      <c r="R6" s="281">
        <f t="shared" ref="R6:R16" si="6">Q6*G6</f>
        <v>1429.1571818859288</v>
      </c>
      <c r="S6" s="281">
        <f>'08_ATC_por_USOS'!$M11</f>
        <v>14936.532912336539</v>
      </c>
      <c r="T6" s="281">
        <f t="shared" ref="T6:T16" si="7">S6*G6</f>
        <v>1244.7110760280448</v>
      </c>
      <c r="U6" s="281">
        <f>'08_ATC_por_USOS'!$M12</f>
        <v>16405.947060620092</v>
      </c>
      <c r="V6" s="281">
        <f t="shared" ref="V6:V16" si="8">U6*G6</f>
        <v>1367.1622550516743</v>
      </c>
      <c r="W6" s="281">
        <f>'08_ATC_por_USOS'!$M13</f>
        <v>9804.398687015444</v>
      </c>
      <c r="X6" s="281">
        <f t="shared" ref="X6:X16" si="9">W6*G6</f>
        <v>817.03322391795359</v>
      </c>
      <c r="Y6" s="281">
        <f>'08_ATC_por_USOS'!$M14</f>
        <v>0</v>
      </c>
      <c r="Z6" s="288">
        <f t="shared" ref="Z6:Z16" si="10">Y6*G6</f>
        <v>0</v>
      </c>
    </row>
    <row r="7" spans="1:26">
      <c r="A7" s="1046">
        <v>4</v>
      </c>
      <c r="B7" s="293" t="str">
        <f>'00_Datos_General'!A6</f>
        <v>c_CS - Grandes Superficies</v>
      </c>
      <c r="C7" s="295">
        <f t="shared" si="0"/>
        <v>3625.1465066750798</v>
      </c>
      <c r="D7" s="296" t="s">
        <v>164</v>
      </c>
      <c r="E7" s="295">
        <v>120</v>
      </c>
      <c r="F7" s="295">
        <v>10</v>
      </c>
      <c r="G7" s="1051">
        <f t="shared" si="1"/>
        <v>8.3333333333333329E-2</v>
      </c>
      <c r="H7" s="1052">
        <f t="shared" si="2"/>
        <v>302.09554222292331</v>
      </c>
      <c r="I7" s="278" t="s">
        <v>164</v>
      </c>
      <c r="J7" s="258"/>
      <c r="K7" s="287">
        <f>'08_ATC_por_USOS'!$Q7</f>
        <v>0</v>
      </c>
      <c r="L7" s="281">
        <f t="shared" si="3"/>
        <v>0</v>
      </c>
      <c r="M7" s="281">
        <f>'08_ATC_por_USOS'!$Q8</f>
        <v>0</v>
      </c>
      <c r="N7" s="281">
        <f t="shared" si="4"/>
        <v>0</v>
      </c>
      <c r="O7" s="281">
        <f>'08_ATC_por_USOS'!$Q9</f>
        <v>0</v>
      </c>
      <c r="P7" s="281">
        <f t="shared" si="5"/>
        <v>0</v>
      </c>
      <c r="Q7" s="281">
        <f>'08_ATC_por_USOS'!$Q10</f>
        <v>3625.1465066750798</v>
      </c>
      <c r="R7" s="281">
        <f t="shared" si="6"/>
        <v>302.09554222292331</v>
      </c>
      <c r="S7" s="281">
        <f>'08_ATC_por_USOS'!$Q11</f>
        <v>0</v>
      </c>
      <c r="T7" s="281">
        <f t="shared" si="7"/>
        <v>0</v>
      </c>
      <c r="U7" s="281">
        <f>'08_ATC_por_USOS'!$Q12</f>
        <v>0</v>
      </c>
      <c r="V7" s="281">
        <f t="shared" si="8"/>
        <v>0</v>
      </c>
      <c r="W7" s="281">
        <f>'08_ATC_por_USOS'!$Q13</f>
        <v>0</v>
      </c>
      <c r="X7" s="281">
        <f t="shared" si="9"/>
        <v>0</v>
      </c>
      <c r="Y7" s="281">
        <f>'08_ATC_por_USOS'!$Q14</f>
        <v>0</v>
      </c>
      <c r="Z7" s="288">
        <f t="shared" si="10"/>
        <v>0</v>
      </c>
    </row>
    <row r="8" spans="1:26">
      <c r="A8" s="1046">
        <v>5</v>
      </c>
      <c r="B8" s="293" t="str">
        <f>'00_Datos_General'!A7</f>
        <v>d_CS - Torre Empresarial (Oficinas + Hospedaje)</v>
      </c>
      <c r="C8" s="295">
        <f t="shared" si="0"/>
        <v>69276.283484898158</v>
      </c>
      <c r="D8" s="296" t="s">
        <v>164</v>
      </c>
      <c r="E8" s="295">
        <v>120</v>
      </c>
      <c r="F8" s="295">
        <v>10</v>
      </c>
      <c r="G8" s="1051">
        <f t="shared" si="1"/>
        <v>8.3333333333333329E-2</v>
      </c>
      <c r="H8" s="1052">
        <f t="shared" si="2"/>
        <v>5773.0236237415129</v>
      </c>
      <c r="I8" s="278" t="s">
        <v>164</v>
      </c>
      <c r="J8" s="258"/>
      <c r="K8" s="287">
        <f>'08_ATC_por_USOS'!$U7</f>
        <v>69276.283484898158</v>
      </c>
      <c r="L8" s="281">
        <f t="shared" si="3"/>
        <v>5773.0236237415129</v>
      </c>
      <c r="M8" s="281">
        <f>'08_ATC_por_USOS'!$U8</f>
        <v>0</v>
      </c>
      <c r="N8" s="281">
        <f t="shared" si="4"/>
        <v>0</v>
      </c>
      <c r="O8" s="281">
        <f>'08_ATC_por_USOS'!$U9</f>
        <v>0</v>
      </c>
      <c r="P8" s="281">
        <f t="shared" si="5"/>
        <v>0</v>
      </c>
      <c r="Q8" s="281">
        <f>'08_ATC_por_USOS'!$U10</f>
        <v>0</v>
      </c>
      <c r="R8" s="281">
        <f t="shared" si="6"/>
        <v>0</v>
      </c>
      <c r="S8" s="281">
        <f>'08_ATC_por_USOS'!$U11</f>
        <v>0</v>
      </c>
      <c r="T8" s="281">
        <f t="shared" si="7"/>
        <v>0</v>
      </c>
      <c r="U8" s="281">
        <f>'08_ATC_por_USOS'!$U12</f>
        <v>0</v>
      </c>
      <c r="V8" s="281">
        <f t="shared" si="8"/>
        <v>0</v>
      </c>
      <c r="W8" s="281">
        <f>'08_ATC_por_USOS'!$U13</f>
        <v>0</v>
      </c>
      <c r="X8" s="281">
        <f t="shared" si="9"/>
        <v>0</v>
      </c>
      <c r="Y8" s="281">
        <f>'08_ATC_por_USOS'!$U14</f>
        <v>0</v>
      </c>
      <c r="Z8" s="288">
        <f t="shared" si="10"/>
        <v>0</v>
      </c>
    </row>
    <row r="9" spans="1:26">
      <c r="A9" s="1046">
        <v>6</v>
      </c>
      <c r="B9" s="293" t="str">
        <f>'00_Datos_General'!A8</f>
        <v>e_CS - Innovation (H, CS, Gamers)</v>
      </c>
      <c r="C9" s="295">
        <f t="shared" si="0"/>
        <v>90089.148434017989</v>
      </c>
      <c r="D9" s="296" t="s">
        <v>164</v>
      </c>
      <c r="E9" s="295">
        <v>120</v>
      </c>
      <c r="F9" s="295">
        <v>10</v>
      </c>
      <c r="G9" s="1051">
        <f t="shared" si="1"/>
        <v>8.3333333333333329E-2</v>
      </c>
      <c r="H9" s="1052">
        <f t="shared" si="2"/>
        <v>7507.4290361681651</v>
      </c>
      <c r="I9" s="278" t="s">
        <v>164</v>
      </c>
      <c r="J9" s="258"/>
      <c r="K9" s="287">
        <f>'08_ATC_por_USOS'!$Y7</f>
        <v>0</v>
      </c>
      <c r="L9" s="281">
        <f t="shared" si="3"/>
        <v>0</v>
      </c>
      <c r="M9" s="281">
        <f>'08_ATC_por_USOS'!$Y8</f>
        <v>0</v>
      </c>
      <c r="N9" s="281">
        <f t="shared" si="4"/>
        <v>0</v>
      </c>
      <c r="O9" s="281">
        <f>'08_ATC_por_USOS'!$Y9</f>
        <v>0</v>
      </c>
      <c r="P9" s="281">
        <f t="shared" si="5"/>
        <v>0</v>
      </c>
      <c r="Q9" s="281">
        <f>'08_ATC_por_USOS'!$Y10</f>
        <v>0</v>
      </c>
      <c r="R9" s="281">
        <f t="shared" si="6"/>
        <v>0</v>
      </c>
      <c r="S9" s="281">
        <f>'08_ATC_por_USOS'!$Y11</f>
        <v>0</v>
      </c>
      <c r="T9" s="281">
        <f t="shared" si="7"/>
        <v>0</v>
      </c>
      <c r="U9" s="281">
        <f>'08_ATC_por_USOS'!$Y12</f>
        <v>0</v>
      </c>
      <c r="V9" s="281">
        <f t="shared" si="8"/>
        <v>0</v>
      </c>
      <c r="W9" s="281">
        <f>'08_ATC_por_USOS'!$Y13</f>
        <v>0</v>
      </c>
      <c r="X9" s="281">
        <f t="shared" si="9"/>
        <v>0</v>
      </c>
      <c r="Y9" s="281">
        <f>'08_ATC_por_USOS'!$Y14</f>
        <v>90089.148434017989</v>
      </c>
      <c r="Z9" s="288">
        <f t="shared" si="10"/>
        <v>7507.4290361681651</v>
      </c>
    </row>
    <row r="10" spans="1:26">
      <c r="A10" s="1046">
        <v>7</v>
      </c>
      <c r="B10" s="294" t="str">
        <f>'00_Datos_General'!A9</f>
        <v xml:space="preserve">No Vis </v>
      </c>
      <c r="C10" s="280">
        <f>SUM(K10,M10,O10,Q10,S10,U10,W10,Y10)</f>
        <v>748703.12837204558</v>
      </c>
      <c r="D10" s="296" t="s">
        <v>164</v>
      </c>
      <c r="E10" s="295">
        <v>80</v>
      </c>
      <c r="F10" s="295">
        <v>10</v>
      </c>
      <c r="G10" s="1051">
        <f>F10/E10</f>
        <v>0.125</v>
      </c>
      <c r="H10" s="1052">
        <f>SUM(L10,N10,P10,R10,T10,V10,X10,Z10)</f>
        <v>93587.891046505698</v>
      </c>
      <c r="I10" s="278" t="s">
        <v>164</v>
      </c>
      <c r="J10" s="258"/>
      <c r="K10" s="287">
        <f>'08_ATC_por_USOS'!$BO7</f>
        <v>0</v>
      </c>
      <c r="L10" s="281">
        <f>K10*G10</f>
        <v>0</v>
      </c>
      <c r="M10" s="281">
        <f>'08_ATC_por_USOS'!$BO8</f>
        <v>111172.8890314543</v>
      </c>
      <c r="N10" s="281">
        <f>M10*G10</f>
        <v>13896.611128931787</v>
      </c>
      <c r="O10" s="281">
        <f>'08_ATC_por_USOS'!$BO9</f>
        <v>116797.26299425424</v>
      </c>
      <c r="P10" s="283">
        <f>O10*G10</f>
        <v>14599.65787428178</v>
      </c>
      <c r="Q10" s="281">
        <f>'08_ATC_por_USOS'!$BO10</f>
        <v>166713.40841769753</v>
      </c>
      <c r="R10" s="281">
        <f>Q10*G10</f>
        <v>20839.176052212191</v>
      </c>
      <c r="S10" s="281">
        <f>'08_ATC_por_USOS'!$BO11</f>
        <v>130603.28241341082</v>
      </c>
      <c r="T10" s="281">
        <f>S10*G10</f>
        <v>16325.410301676353</v>
      </c>
      <c r="U10" s="281">
        <f>'08_ATC_por_USOS'!$BO12</f>
        <v>137206.86603957269</v>
      </c>
      <c r="V10" s="281">
        <f>U10*G10</f>
        <v>17150.858254946586</v>
      </c>
      <c r="W10" s="281">
        <f>'08_ATC_por_USOS'!$BO13</f>
        <v>86209.419475656105</v>
      </c>
      <c r="X10" s="281">
        <f>W10*G10</f>
        <v>10776.177434457013</v>
      </c>
      <c r="Y10" s="281">
        <f>'08_ATC_por_USOS'!$BO14</f>
        <v>0</v>
      </c>
      <c r="Z10" s="288">
        <f>Y10*G10</f>
        <v>0</v>
      </c>
    </row>
    <row r="11" spans="1:26" s="39" customFormat="1">
      <c r="A11" s="1046">
        <v>8</v>
      </c>
      <c r="B11" s="294" t="str">
        <f>'00_Datos_General'!A10</f>
        <v>VIS_RU (175 smmlv)</v>
      </c>
      <c r="C11" s="280">
        <f>SUM(K11,M11,O11,Q11,S11,U11,W11,Y11)</f>
        <v>1782</v>
      </c>
      <c r="D11" s="297" t="s">
        <v>742</v>
      </c>
      <c r="E11" s="280"/>
      <c r="F11" s="280"/>
      <c r="G11" s="1048"/>
      <c r="H11" s="1050"/>
      <c r="I11" s="277"/>
      <c r="J11" s="257"/>
      <c r="K11" s="289">
        <f>'08_ATC_por_USOS'!$BB7</f>
        <v>0</v>
      </c>
      <c r="L11" s="284"/>
      <c r="M11" s="284">
        <f>'08_ATC_por_USOS'!$BB8</f>
        <v>262</v>
      </c>
      <c r="N11" s="284">
        <f t="shared" si="4"/>
        <v>0</v>
      </c>
      <c r="O11" s="284">
        <f>'08_ATC_por_USOS'!$BB9</f>
        <v>275</v>
      </c>
      <c r="P11" s="284">
        <f t="shared" si="5"/>
        <v>0</v>
      </c>
      <c r="Q11" s="284">
        <f>'08_ATC_por_USOS'!$BB10</f>
        <v>394</v>
      </c>
      <c r="R11" s="284">
        <f t="shared" si="6"/>
        <v>0</v>
      </c>
      <c r="S11" s="284">
        <f>'08_ATC_por_USOS'!$BB11</f>
        <v>307</v>
      </c>
      <c r="T11" s="284">
        <f t="shared" si="7"/>
        <v>0</v>
      </c>
      <c r="U11" s="284">
        <f>'08_ATC_por_USOS'!$BB12</f>
        <v>325</v>
      </c>
      <c r="V11" s="284">
        <f t="shared" si="8"/>
        <v>0</v>
      </c>
      <c r="W11" s="284">
        <f>'08_ATC_por_USOS'!$BB13</f>
        <v>219</v>
      </c>
      <c r="X11" s="284">
        <f t="shared" si="9"/>
        <v>0</v>
      </c>
      <c r="Y11" s="284">
        <f>'08_ATC_por_USOS'!$BB14</f>
        <v>0</v>
      </c>
      <c r="Z11" s="288">
        <f t="shared" si="10"/>
        <v>0</v>
      </c>
    </row>
    <row r="12" spans="1:26">
      <c r="A12" s="1046"/>
      <c r="B12" s="293"/>
      <c r="C12" s="295"/>
      <c r="D12" s="296"/>
      <c r="E12" s="295"/>
      <c r="F12" s="295"/>
      <c r="G12" s="1051">
        <v>6</v>
      </c>
      <c r="H12" s="1052">
        <f t="shared" ref="H12:H13" si="11">SUM(L12,N12,P12,R12,T12,V12,X12,Z12)</f>
        <v>5400</v>
      </c>
      <c r="I12" s="278" t="s">
        <v>164</v>
      </c>
      <c r="J12" s="258"/>
      <c r="K12" s="287">
        <v>0</v>
      </c>
      <c r="L12" s="281">
        <f t="shared" si="3"/>
        <v>0</v>
      </c>
      <c r="M12" s="281">
        <v>150</v>
      </c>
      <c r="N12" s="281">
        <f t="shared" si="4"/>
        <v>900</v>
      </c>
      <c r="O12" s="281">
        <v>150</v>
      </c>
      <c r="P12" s="281">
        <f t="shared" si="5"/>
        <v>900</v>
      </c>
      <c r="Q12" s="281">
        <v>150</v>
      </c>
      <c r="R12" s="281">
        <f t="shared" si="6"/>
        <v>900</v>
      </c>
      <c r="S12" s="281">
        <v>150</v>
      </c>
      <c r="T12" s="281">
        <f t="shared" si="7"/>
        <v>900</v>
      </c>
      <c r="U12" s="281">
        <v>150</v>
      </c>
      <c r="V12" s="281">
        <f t="shared" si="8"/>
        <v>900</v>
      </c>
      <c r="W12" s="281">
        <v>150</v>
      </c>
      <c r="X12" s="281">
        <f t="shared" si="9"/>
        <v>900</v>
      </c>
      <c r="Y12" s="281">
        <v>0</v>
      </c>
      <c r="Z12" s="288">
        <f t="shared" si="10"/>
        <v>0</v>
      </c>
    </row>
    <row r="13" spans="1:26">
      <c r="A13" s="1046"/>
      <c r="B13" s="293"/>
      <c r="C13" s="295"/>
      <c r="D13" s="296"/>
      <c r="E13" s="295"/>
      <c r="F13" s="295"/>
      <c r="G13" s="1051">
        <v>8.5</v>
      </c>
      <c r="H13" s="1052">
        <f t="shared" si="11"/>
        <v>7497</v>
      </c>
      <c r="I13" s="278" t="s">
        <v>164</v>
      </c>
      <c r="J13" s="258"/>
      <c r="K13" s="287">
        <v>0</v>
      </c>
      <c r="L13" s="281">
        <f t="shared" si="3"/>
        <v>0</v>
      </c>
      <c r="M13" s="281">
        <f>M11-M12</f>
        <v>112</v>
      </c>
      <c r="N13" s="281">
        <f t="shared" si="4"/>
        <v>952</v>
      </c>
      <c r="O13" s="281">
        <f t="shared" ref="O13:W13" si="12">O11-O12</f>
        <v>125</v>
      </c>
      <c r="P13" s="281">
        <f t="shared" si="5"/>
        <v>1062.5</v>
      </c>
      <c r="Q13" s="281">
        <f t="shared" si="12"/>
        <v>244</v>
      </c>
      <c r="R13" s="281">
        <f t="shared" si="6"/>
        <v>2074</v>
      </c>
      <c r="S13" s="281">
        <f t="shared" si="12"/>
        <v>157</v>
      </c>
      <c r="T13" s="281">
        <f t="shared" si="7"/>
        <v>1334.5</v>
      </c>
      <c r="U13" s="281">
        <f t="shared" si="12"/>
        <v>175</v>
      </c>
      <c r="V13" s="281">
        <f t="shared" si="8"/>
        <v>1487.5</v>
      </c>
      <c r="W13" s="281">
        <f t="shared" si="12"/>
        <v>69</v>
      </c>
      <c r="X13" s="281">
        <f t="shared" si="9"/>
        <v>586.5</v>
      </c>
      <c r="Y13" s="281">
        <v>0</v>
      </c>
      <c r="Z13" s="288">
        <f>Y13*G13</f>
        <v>0</v>
      </c>
    </row>
    <row r="14" spans="1:26" s="39" customFormat="1">
      <c r="A14" s="1047">
        <v>9</v>
      </c>
      <c r="B14" s="294" t="str">
        <f>'00_Datos_General'!A11</f>
        <v>VIP RU (90 smmlv)</v>
      </c>
      <c r="C14" s="280">
        <f>SUM(K14,M14,O14,Q14,S14,U14,W14,Y14)</f>
        <v>1528</v>
      </c>
      <c r="D14" s="297" t="s">
        <v>742</v>
      </c>
      <c r="E14" s="280"/>
      <c r="F14" s="280"/>
      <c r="G14" s="1048"/>
      <c r="H14" s="1050"/>
      <c r="I14" s="277"/>
      <c r="J14" s="257"/>
      <c r="K14" s="289">
        <f>'08_ATC_por_USOS'!$BF7</f>
        <v>0</v>
      </c>
      <c r="L14" s="284">
        <f t="shared" si="3"/>
        <v>0</v>
      </c>
      <c r="M14" s="284">
        <f>'08_ATC_por_USOS'!$BF8</f>
        <v>224</v>
      </c>
      <c r="N14" s="284">
        <f t="shared" si="4"/>
        <v>0</v>
      </c>
      <c r="O14" s="284">
        <f>'08_ATC_por_USOS'!$BF9</f>
        <v>236</v>
      </c>
      <c r="P14" s="284">
        <f t="shared" si="5"/>
        <v>0</v>
      </c>
      <c r="Q14" s="284">
        <f>'08_ATC_por_USOS'!$BF10</f>
        <v>338</v>
      </c>
      <c r="R14" s="284">
        <f t="shared" si="6"/>
        <v>0</v>
      </c>
      <c r="S14" s="284">
        <f>'08_ATC_por_USOS'!$BF11</f>
        <v>263</v>
      </c>
      <c r="T14" s="284">
        <f t="shared" si="7"/>
        <v>0</v>
      </c>
      <c r="U14" s="284">
        <f>'08_ATC_por_USOS'!$BF12</f>
        <v>279</v>
      </c>
      <c r="V14" s="284">
        <f t="shared" si="8"/>
        <v>0</v>
      </c>
      <c r="W14" s="284">
        <f>'08_ATC_por_USOS'!$BF13</f>
        <v>188</v>
      </c>
      <c r="X14" s="284">
        <f t="shared" si="9"/>
        <v>0</v>
      </c>
      <c r="Y14" s="284">
        <f>'08_ATC_por_USOS'!$BF14</f>
        <v>0</v>
      </c>
      <c r="Z14" s="288">
        <f t="shared" si="10"/>
        <v>0</v>
      </c>
    </row>
    <row r="15" spans="1:26" s="2" customFormat="1">
      <c r="A15" s="287"/>
      <c r="B15" s="282"/>
      <c r="C15" s="295"/>
      <c r="D15" s="282"/>
      <c r="E15" s="282"/>
      <c r="F15" s="282"/>
      <c r="G15" s="366">
        <v>6</v>
      </c>
      <c r="H15" s="1052">
        <f t="shared" ref="H15:H16" si="13">SUM(L15,N15,P15,R15,T15,V15,X15,Z15)</f>
        <v>5400</v>
      </c>
      <c r="I15" s="278" t="s">
        <v>164</v>
      </c>
      <c r="J15" s="258"/>
      <c r="K15" s="287">
        <v>0</v>
      </c>
      <c r="L15" s="281">
        <f t="shared" si="3"/>
        <v>0</v>
      </c>
      <c r="M15" s="281">
        <v>150</v>
      </c>
      <c r="N15" s="281">
        <f t="shared" si="4"/>
        <v>900</v>
      </c>
      <c r="O15" s="281">
        <v>150</v>
      </c>
      <c r="P15" s="281">
        <f t="shared" si="5"/>
        <v>900</v>
      </c>
      <c r="Q15" s="281">
        <v>150</v>
      </c>
      <c r="R15" s="281">
        <f t="shared" si="6"/>
        <v>900</v>
      </c>
      <c r="S15" s="281">
        <v>150</v>
      </c>
      <c r="T15" s="281">
        <f t="shared" si="7"/>
        <v>900</v>
      </c>
      <c r="U15" s="281">
        <v>150</v>
      </c>
      <c r="V15" s="281">
        <f t="shared" si="8"/>
        <v>900</v>
      </c>
      <c r="W15" s="281">
        <v>150</v>
      </c>
      <c r="X15" s="281">
        <f t="shared" si="9"/>
        <v>900</v>
      </c>
      <c r="Y15" s="281">
        <v>0</v>
      </c>
      <c r="Z15" s="288">
        <f t="shared" si="10"/>
        <v>0</v>
      </c>
    </row>
    <row r="16" spans="1:26" s="2" customFormat="1" ht="14.45" thickBot="1">
      <c r="A16" s="290"/>
      <c r="B16" s="298"/>
      <c r="C16" s="299"/>
      <c r="D16" s="298"/>
      <c r="E16" s="298"/>
      <c r="F16" s="298"/>
      <c r="G16" s="1053">
        <v>8.5</v>
      </c>
      <c r="H16" s="1054">
        <f t="shared" si="13"/>
        <v>5338</v>
      </c>
      <c r="I16" s="279" t="s">
        <v>164</v>
      </c>
      <c r="J16" s="258"/>
      <c r="K16" s="290">
        <v>0</v>
      </c>
      <c r="L16" s="291">
        <f t="shared" si="3"/>
        <v>0</v>
      </c>
      <c r="M16" s="291">
        <f>M14-M15</f>
        <v>74</v>
      </c>
      <c r="N16" s="291">
        <f t="shared" si="4"/>
        <v>629</v>
      </c>
      <c r="O16" s="291">
        <f>O14-O15</f>
        <v>86</v>
      </c>
      <c r="P16" s="291">
        <f t="shared" si="5"/>
        <v>731</v>
      </c>
      <c r="Q16" s="291">
        <f>Q14-Q15</f>
        <v>188</v>
      </c>
      <c r="R16" s="291">
        <f t="shared" si="6"/>
        <v>1598</v>
      </c>
      <c r="S16" s="291">
        <f>S14-S15</f>
        <v>113</v>
      </c>
      <c r="T16" s="291">
        <f t="shared" si="7"/>
        <v>960.5</v>
      </c>
      <c r="U16" s="291">
        <f>U14-U15</f>
        <v>129</v>
      </c>
      <c r="V16" s="291">
        <f t="shared" si="8"/>
        <v>1096.5</v>
      </c>
      <c r="W16" s="291">
        <f>W14-W15</f>
        <v>38</v>
      </c>
      <c r="X16" s="291">
        <f t="shared" si="9"/>
        <v>323</v>
      </c>
      <c r="Y16" s="291">
        <f>Y14-Y15</f>
        <v>0</v>
      </c>
      <c r="Z16" s="292">
        <f t="shared" si="10"/>
        <v>0</v>
      </c>
    </row>
    <row r="17" spans="14:14">
      <c r="N17" s="254"/>
    </row>
  </sheetData>
  <mergeCells count="11">
    <mergeCell ref="Y2:Z2"/>
    <mergeCell ref="H2:I2"/>
    <mergeCell ref="K1:Y1"/>
    <mergeCell ref="K2:L2"/>
    <mergeCell ref="M2:N2"/>
    <mergeCell ref="O2:P2"/>
    <mergeCell ref="Q2:R2"/>
    <mergeCell ref="S2:T2"/>
    <mergeCell ref="U2:V2"/>
    <mergeCell ref="W2:X2"/>
    <mergeCell ref="A1:I1"/>
  </mergeCells>
  <pageMargins left="0.7" right="0.7" top="0.75" bottom="0.75" header="0.3" footer="0.3"/>
  <ignoredErrors>
    <ignoredError sqref="N16 N13 P13 R13 P16 R16 T13:X16" formula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37AC7-B060-490B-A1E5-44D6B57356B0}">
  <sheetPr>
    <tabColor rgb="FF7030A0"/>
  </sheetPr>
  <dimension ref="A1:V15"/>
  <sheetViews>
    <sheetView zoomScale="160" zoomScaleNormal="160" workbookViewId="0">
      <selection activeCell="K5" sqref="K5"/>
    </sheetView>
  </sheetViews>
  <sheetFormatPr defaultColWidth="11.375" defaultRowHeight="13.9"/>
  <cols>
    <col min="1" max="1" width="11.375" style="25"/>
    <col min="2" max="2" width="13.25" style="107" bestFit="1" customWidth="1"/>
    <col min="3" max="3" width="13.25" style="107" customWidth="1"/>
    <col min="4" max="4" width="21.625" style="107" customWidth="1"/>
    <col min="5" max="5" width="12.125" style="107" bestFit="1" customWidth="1"/>
    <col min="6" max="6" width="4.375" style="107" bestFit="1" customWidth="1"/>
    <col min="7" max="7" width="4.375" style="107" customWidth="1"/>
    <col min="8" max="9" width="12.125" style="107" bestFit="1" customWidth="1"/>
    <col min="10" max="10" width="4.375" style="25" bestFit="1" customWidth="1"/>
    <col min="11" max="11" width="12.125" style="107" bestFit="1" customWidth="1"/>
    <col min="12" max="12" width="4.375" style="180" bestFit="1" customWidth="1"/>
    <col min="13" max="13" width="9.75" style="25" bestFit="1" customWidth="1"/>
    <col min="14" max="14" width="13.375" style="107" bestFit="1" customWidth="1"/>
    <col min="15" max="15" width="13.25" style="107" bestFit="1" customWidth="1"/>
    <col min="16" max="16" width="14.875" style="107" customWidth="1"/>
    <col min="17" max="17" width="19" style="107" customWidth="1"/>
    <col min="18" max="18" width="11.375" style="107"/>
    <col min="19" max="19" width="12.875" style="107" bestFit="1" customWidth="1"/>
    <col min="20" max="20" width="17.875" style="107" customWidth="1"/>
    <col min="21" max="21" width="18.625" style="107" bestFit="1" customWidth="1"/>
    <col min="22" max="22" width="13.25" style="107" bestFit="1" customWidth="1"/>
    <col min="23" max="16384" width="11.375" style="107"/>
  </cols>
  <sheetData>
    <row r="1" spans="1:22">
      <c r="A1" s="1677" t="s">
        <v>247</v>
      </c>
      <c r="B1" s="1677" t="s">
        <v>786</v>
      </c>
      <c r="C1" s="1677"/>
      <c r="D1" s="1677"/>
      <c r="E1" s="1677"/>
      <c r="F1" s="1677"/>
      <c r="G1" s="1677"/>
      <c r="H1" s="1677"/>
      <c r="I1" s="1677"/>
      <c r="J1" s="1677"/>
      <c r="K1" s="1677"/>
      <c r="L1" s="1677"/>
      <c r="M1" s="1677"/>
      <c r="N1" s="1677"/>
      <c r="O1" s="1677"/>
      <c r="P1" s="1677"/>
      <c r="Q1" s="1677"/>
    </row>
    <row r="2" spans="1:22" ht="28.15" thickBot="1">
      <c r="A2" s="1677"/>
      <c r="B2" s="1677" t="s">
        <v>787</v>
      </c>
      <c r="C2" s="301" t="s">
        <v>788</v>
      </c>
      <c r="D2" s="301"/>
      <c r="E2" s="301"/>
      <c r="F2" s="301"/>
      <c r="G2" s="301"/>
      <c r="H2" s="301"/>
      <c r="I2" s="301"/>
      <c r="J2" s="301"/>
      <c r="K2" s="1681" t="s">
        <v>789</v>
      </c>
      <c r="L2" s="1681"/>
      <c r="M2" s="1681"/>
      <c r="N2" s="1681"/>
      <c r="O2" s="197"/>
      <c r="P2" s="192" t="s">
        <v>790</v>
      </c>
      <c r="Q2" s="302" t="s">
        <v>791</v>
      </c>
      <c r="R2" s="1678" t="s">
        <v>792</v>
      </c>
      <c r="S2" s="1679"/>
    </row>
    <row r="3" spans="1:22" s="123" customFormat="1" ht="27.6">
      <c r="A3" s="1677"/>
      <c r="B3" s="1677"/>
      <c r="C3" s="303" t="s">
        <v>550</v>
      </c>
      <c r="D3" s="423" t="s">
        <v>793</v>
      </c>
      <c r="E3" s="303" t="s">
        <v>794</v>
      </c>
      <c r="F3" s="304"/>
      <c r="G3" s="1682" t="s">
        <v>795</v>
      </c>
      <c r="H3" s="1682"/>
      <c r="I3" s="1682" t="s">
        <v>630</v>
      </c>
      <c r="J3" s="1682"/>
      <c r="K3" s="304"/>
      <c r="L3" s="275"/>
      <c r="M3" s="192" t="s">
        <v>796</v>
      </c>
      <c r="N3" s="478" t="s">
        <v>797</v>
      </c>
      <c r="O3" s="192" t="s">
        <v>794</v>
      </c>
      <c r="P3" s="192" t="s">
        <v>798</v>
      </c>
      <c r="Q3" s="202"/>
      <c r="R3" s="1680" t="s">
        <v>799</v>
      </c>
      <c r="S3" s="1680"/>
      <c r="T3" s="485" t="s">
        <v>800</v>
      </c>
      <c r="U3" s="486" t="s">
        <v>801</v>
      </c>
      <c r="V3" s="479" t="s">
        <v>259</v>
      </c>
    </row>
    <row r="4" spans="1:22">
      <c r="A4" s="195"/>
      <c r="B4" s="195"/>
      <c r="C4" s="305"/>
      <c r="D4" s="305"/>
      <c r="E4" s="305"/>
      <c r="F4" s="306"/>
      <c r="G4" s="306"/>
      <c r="H4" s="305"/>
      <c r="I4" s="305"/>
      <c r="J4" s="305"/>
      <c r="K4" s="306"/>
      <c r="L4" s="272"/>
      <c r="M4" s="195"/>
      <c r="N4" s="197"/>
      <c r="O4" s="197"/>
      <c r="P4" s="197"/>
      <c r="Q4" s="197"/>
      <c r="R4" s="307"/>
      <c r="S4" s="307"/>
      <c r="T4" s="418"/>
      <c r="U4" s="197"/>
      <c r="V4" s="274"/>
    </row>
    <row r="5" spans="1:22">
      <c r="A5" s="195"/>
      <c r="B5" s="308">
        <f>SUM(B6:B13)</f>
        <v>141172.16291652626</v>
      </c>
      <c r="C5" s="308">
        <f>SUM(C6:C13)</f>
        <v>13723.80470659296</v>
      </c>
      <c r="D5" s="308">
        <f>SUM(D6:D13)</f>
        <v>41241.416898701806</v>
      </c>
      <c r="E5" s="308">
        <f>SUM(E6:E13)</f>
        <v>54965.221605294762</v>
      </c>
      <c r="F5" s="308"/>
      <c r="G5" s="308"/>
      <c r="H5" s="308">
        <f>SUM(H6:H13)</f>
        <v>17782.256006436372</v>
      </c>
      <c r="I5" s="309">
        <f>SUM(I6:I13)</f>
        <v>72747.477611731127</v>
      </c>
      <c r="J5" s="310"/>
      <c r="K5" s="308">
        <f>SUM(K6:K13)</f>
        <v>68424.685304795115</v>
      </c>
      <c r="L5" s="272"/>
      <c r="M5" s="195"/>
      <c r="N5" s="309">
        <f>SUM(N6:N13)</f>
        <v>41241.416898701806</v>
      </c>
      <c r="O5" s="308">
        <f>SUM(O6:O13)</f>
        <v>113988.89451043296</v>
      </c>
      <c r="P5" s="308">
        <f>SUM(P6:P13)</f>
        <v>27183.268406093317</v>
      </c>
      <c r="Q5" s="311">
        <f>SUM(O5:P5)</f>
        <v>141172.16291652629</v>
      </c>
      <c r="R5" s="307"/>
      <c r="S5" s="307"/>
      <c r="T5" s="480">
        <f>SUM(T6:T13)</f>
        <v>82482.833797403611</v>
      </c>
      <c r="U5" s="308">
        <f>SUM(U6:U13)</f>
        <v>58689.329119122645</v>
      </c>
      <c r="V5" s="481">
        <f>SUM(T5:U5)</f>
        <v>141172.16291652626</v>
      </c>
    </row>
    <row r="6" spans="1:22">
      <c r="A6" s="195">
        <v>1</v>
      </c>
      <c r="B6" s="196">
        <f>'13a_ECP'!L3</f>
        <v>6563.5686232525431</v>
      </c>
      <c r="C6" s="196">
        <f>'04c_Resumen_MO'!H6</f>
        <v>1355.7527193899618</v>
      </c>
      <c r="D6" s="196">
        <f>'07c_ATC_Ajustado'!AX17</f>
        <v>3016.8704098262097</v>
      </c>
      <c r="E6" s="196">
        <f t="shared" ref="E6:E13" si="0">SUM(C6:D6)</f>
        <v>4372.6231292161719</v>
      </c>
      <c r="F6" s="272">
        <f>E6/B6</f>
        <v>0.66619599492346604</v>
      </c>
      <c r="G6" s="312">
        <v>0.67</v>
      </c>
      <c r="H6" s="196">
        <f t="shared" ref="H6:H12" si="1">B6*G6-E6</f>
        <v>24.967848363032317</v>
      </c>
      <c r="I6" s="196">
        <f t="shared" ref="I6:I13" si="2">SUM(C6,D6,H6)</f>
        <v>4397.5909775792043</v>
      </c>
      <c r="J6" s="313">
        <f t="shared" ref="J6:J13" si="3">I6/B6</f>
        <v>0.67</v>
      </c>
      <c r="K6" s="196">
        <f t="shared" ref="K6:K13" si="4">B6-I6</f>
        <v>2165.9776456733389</v>
      </c>
      <c r="L6" s="313">
        <f t="shared" ref="L6:L13" si="5">K6/B6</f>
        <v>0.32999999999999996</v>
      </c>
      <c r="M6" s="195">
        <f t="shared" ref="M6:M13" si="6">ROUND(K6/D6,0)</f>
        <v>1</v>
      </c>
      <c r="N6" s="196">
        <f>'07c_ATC_Ajustado'!R17</f>
        <v>3016.8704098262097</v>
      </c>
      <c r="O6" s="196">
        <f>SUM(C6,D6,H6,N6)</f>
        <v>7414.4613874054139</v>
      </c>
      <c r="P6" s="196">
        <f t="shared" ref="P6:P13" si="7">B6-O6</f>
        <v>-850.89276415287077</v>
      </c>
      <c r="Q6" s="196">
        <f>SUM(O6,P6)</f>
        <v>6563.5686232525431</v>
      </c>
      <c r="R6" s="314">
        <f>'08_ATC_por_USOS'!E7</f>
        <v>27566.988217660677</v>
      </c>
      <c r="S6" s="315">
        <f t="shared" ref="S6:S13" si="8">P6/R6</f>
        <v>-3.086636659160865E-2</v>
      </c>
      <c r="T6" s="482">
        <f>SUM(D6,N6)</f>
        <v>6033.7408196524193</v>
      </c>
      <c r="U6" s="196">
        <f>SUM(C6,H6,P6)</f>
        <v>529.82780360012339</v>
      </c>
      <c r="V6" s="274"/>
    </row>
    <row r="7" spans="1:22">
      <c r="A7" s="195">
        <v>2</v>
      </c>
      <c r="B7" s="196">
        <f>'13a_ECP'!N3</f>
        <v>18631.813358343694</v>
      </c>
      <c r="C7" s="196">
        <f>'04c_Resumen_MO'!H7</f>
        <v>1807.5715171192551</v>
      </c>
      <c r="D7" s="196">
        <f>'07c_ATC_Ajustado'!AX26</f>
        <v>5154.2968675627662</v>
      </c>
      <c r="E7" s="196">
        <f t="shared" si="0"/>
        <v>6961.8683846820213</v>
      </c>
      <c r="F7" s="272">
        <f t="shared" ref="F7:F13" si="9">E7/B7</f>
        <v>0.37365490147336405</v>
      </c>
      <c r="G7" s="312">
        <v>0.5</v>
      </c>
      <c r="H7" s="196">
        <f t="shared" si="1"/>
        <v>2354.0382944898256</v>
      </c>
      <c r="I7" s="196">
        <f t="shared" si="2"/>
        <v>9315.9066791718469</v>
      </c>
      <c r="J7" s="313">
        <f t="shared" si="3"/>
        <v>0.5</v>
      </c>
      <c r="K7" s="196">
        <f t="shared" si="4"/>
        <v>9315.9066791718469</v>
      </c>
      <c r="L7" s="313">
        <f t="shared" si="5"/>
        <v>0.5</v>
      </c>
      <c r="M7" s="195">
        <f t="shared" si="6"/>
        <v>2</v>
      </c>
      <c r="N7" s="196">
        <f>'07c_ATC_Ajustado'!R26</f>
        <v>5154.2968675627662</v>
      </c>
      <c r="O7" s="196">
        <f t="shared" ref="O7:O13" si="10">SUM(C7,D7,H7,N7)</f>
        <v>14470.203546734614</v>
      </c>
      <c r="P7" s="196">
        <f t="shared" si="7"/>
        <v>4161.6098116090798</v>
      </c>
      <c r="Q7" s="196">
        <f t="shared" ref="Q7:Q13" si="11">SUM(O7,P7)</f>
        <v>18631.813358343694</v>
      </c>
      <c r="R7" s="314">
        <f>'08_ATC_por_USOS'!E8</f>
        <v>32155.304753667955</v>
      </c>
      <c r="S7" s="315">
        <f t="shared" si="8"/>
        <v>0.12942218534359762</v>
      </c>
      <c r="T7" s="482">
        <f t="shared" ref="T7:T13" si="12">SUM(D7,N7)</f>
        <v>10308.593735125532</v>
      </c>
      <c r="U7" s="196">
        <f t="shared" ref="U7:U13" si="13">SUM(C7,H7,P7)</f>
        <v>8323.2196232181595</v>
      </c>
      <c r="V7" s="274"/>
    </row>
    <row r="8" spans="1:22">
      <c r="A8" s="195">
        <v>3</v>
      </c>
      <c r="B8" s="196">
        <f>'13a_ECP'!P3</f>
        <v>19629.908300423202</v>
      </c>
      <c r="C8" s="196">
        <f>'04c_Resumen_MO'!H8</f>
        <v>1927.30540823921</v>
      </c>
      <c r="D8" s="196">
        <f>'07c_ATC_Ajustado'!AX35</f>
        <v>5416.3265747453397</v>
      </c>
      <c r="E8" s="196">
        <f t="shared" si="0"/>
        <v>7343.6319829845497</v>
      </c>
      <c r="F8" s="272">
        <f t="shared" si="9"/>
        <v>0.37410424290297006</v>
      </c>
      <c r="G8" s="312">
        <v>0.5</v>
      </c>
      <c r="H8" s="196">
        <f t="shared" si="1"/>
        <v>2471.3221672270511</v>
      </c>
      <c r="I8" s="196">
        <f t="shared" si="2"/>
        <v>9814.9541502116008</v>
      </c>
      <c r="J8" s="313">
        <f t="shared" si="3"/>
        <v>0.5</v>
      </c>
      <c r="K8" s="196">
        <f t="shared" si="4"/>
        <v>9814.9541502116008</v>
      </c>
      <c r="L8" s="313">
        <f t="shared" si="5"/>
        <v>0.5</v>
      </c>
      <c r="M8" s="195">
        <f t="shared" si="6"/>
        <v>2</v>
      </c>
      <c r="N8" s="196">
        <f>'07c_ATC_Ajustado'!R35</f>
        <v>5416.3265747453397</v>
      </c>
      <c r="O8" s="196">
        <f t="shared" si="10"/>
        <v>15231.280724956941</v>
      </c>
      <c r="P8" s="196">
        <f t="shared" si="7"/>
        <v>4398.6275754662602</v>
      </c>
      <c r="Q8" s="196">
        <f t="shared" si="11"/>
        <v>19629.908300423202</v>
      </c>
      <c r="R8" s="314">
        <f>'08_ATC_por_USOS'!E9</f>
        <v>33870.070880317995</v>
      </c>
      <c r="S8" s="315">
        <f t="shared" si="8"/>
        <v>0.12986768144091237</v>
      </c>
      <c r="T8" s="482">
        <f t="shared" si="12"/>
        <v>10832.653149490679</v>
      </c>
      <c r="U8" s="196">
        <f t="shared" si="13"/>
        <v>8797.2551509325203</v>
      </c>
      <c r="V8" s="274"/>
    </row>
    <row r="9" spans="1:22">
      <c r="A9" s="195">
        <v>4</v>
      </c>
      <c r="B9" s="196">
        <f>'13a_ECP'!R3</f>
        <v>28403.831599985286</v>
      </c>
      <c r="C9" s="196">
        <f>'04c_Resumen_MO'!H9</f>
        <v>2305.0707388953133</v>
      </c>
      <c r="D9" s="196">
        <f>'07c_ATC_Ajustado'!AX44</f>
        <v>7734.9061404628665</v>
      </c>
      <c r="E9" s="196">
        <f t="shared" si="0"/>
        <v>10039.976879358179</v>
      </c>
      <c r="F9" s="272">
        <f t="shared" si="9"/>
        <v>0.35347262372036387</v>
      </c>
      <c r="G9" s="312">
        <v>0.5</v>
      </c>
      <c r="H9" s="196">
        <f t="shared" si="1"/>
        <v>4161.938920634464</v>
      </c>
      <c r="I9" s="196">
        <f t="shared" si="2"/>
        <v>14201.915799992643</v>
      </c>
      <c r="J9" s="313">
        <f t="shared" si="3"/>
        <v>0.5</v>
      </c>
      <c r="K9" s="196">
        <f t="shared" si="4"/>
        <v>14201.915799992643</v>
      </c>
      <c r="L9" s="313">
        <f t="shared" si="5"/>
        <v>0.5</v>
      </c>
      <c r="M9" s="195">
        <f t="shared" si="6"/>
        <v>2</v>
      </c>
      <c r="N9" s="196">
        <f>'07c_ATC_Ajustado'!R44</f>
        <v>7734.9061404628665</v>
      </c>
      <c r="O9" s="196">
        <f t="shared" si="10"/>
        <v>21936.821940455509</v>
      </c>
      <c r="P9" s="196">
        <f t="shared" si="7"/>
        <v>6467.0096595297764</v>
      </c>
      <c r="Q9" s="196">
        <f t="shared" si="11"/>
        <v>28403.831599985286</v>
      </c>
      <c r="R9" s="314">
        <f>'08_ATC_por_USOS'!E10</f>
        <v>49079.765308174552</v>
      </c>
      <c r="S9" s="315">
        <f t="shared" si="8"/>
        <v>0.131765293067786</v>
      </c>
      <c r="T9" s="482">
        <f t="shared" si="12"/>
        <v>15469.812280925733</v>
      </c>
      <c r="U9" s="196">
        <f t="shared" si="13"/>
        <v>12934.019319059553</v>
      </c>
      <c r="V9" s="274"/>
    </row>
    <row r="10" spans="1:22">
      <c r="A10" s="195">
        <v>5</v>
      </c>
      <c r="B10" s="196">
        <f>'13a_ECP'!T3</f>
        <v>22009.652417585403</v>
      </c>
      <c r="C10" s="196">
        <f>'04c_Resumen_MO'!H10</f>
        <v>2084.0473711146669</v>
      </c>
      <c r="D10" s="196">
        <f>'07c_ATC_Ajustado'!AX53</f>
        <v>6054.9978188827026</v>
      </c>
      <c r="E10" s="196">
        <f t="shared" si="0"/>
        <v>8139.0451899973696</v>
      </c>
      <c r="F10" s="272">
        <f t="shared" si="9"/>
        <v>0.36979435365796087</v>
      </c>
      <c r="G10" s="312">
        <v>0.5</v>
      </c>
      <c r="H10" s="196">
        <f t="shared" si="1"/>
        <v>2865.7810187953319</v>
      </c>
      <c r="I10" s="196">
        <f t="shared" si="2"/>
        <v>11004.826208792701</v>
      </c>
      <c r="J10" s="313">
        <f t="shared" si="3"/>
        <v>0.5</v>
      </c>
      <c r="K10" s="196">
        <f t="shared" si="4"/>
        <v>11004.826208792701</v>
      </c>
      <c r="L10" s="313">
        <f t="shared" si="5"/>
        <v>0.5</v>
      </c>
      <c r="M10" s="195">
        <f t="shared" si="6"/>
        <v>2</v>
      </c>
      <c r="N10" s="196">
        <f>'07c_ATC_Ajustado'!R53</f>
        <v>6054.9978188827026</v>
      </c>
      <c r="O10" s="196">
        <f t="shared" si="10"/>
        <v>17059.824027675404</v>
      </c>
      <c r="P10" s="196">
        <f t="shared" si="7"/>
        <v>4949.8283899099988</v>
      </c>
      <c r="Q10" s="196">
        <f t="shared" si="11"/>
        <v>22009.652417585403</v>
      </c>
      <c r="R10" s="314">
        <f>'08_ATC_por_USOS'!E11</f>
        <v>37752.253660450035</v>
      </c>
      <c r="S10" s="315">
        <f t="shared" si="8"/>
        <v>0.13111345442922606</v>
      </c>
      <c r="T10" s="482">
        <f t="shared" si="12"/>
        <v>12109.995637765405</v>
      </c>
      <c r="U10" s="196">
        <f t="shared" si="13"/>
        <v>9899.6567798199976</v>
      </c>
      <c r="V10" s="274"/>
    </row>
    <row r="11" spans="1:22">
      <c r="A11" s="195">
        <v>6</v>
      </c>
      <c r="B11" s="196">
        <f>'13a_ECP'!V3</f>
        <v>23297.405063064249</v>
      </c>
      <c r="C11" s="196">
        <f>'04c_Resumen_MO'!H11</f>
        <v>1905.1278876901943</v>
      </c>
      <c r="D11" s="196">
        <f>'07c_ATC_Ajustado'!AX62</f>
        <v>6369.5440403549974</v>
      </c>
      <c r="E11" s="196">
        <f t="shared" si="0"/>
        <v>8274.6719280451907</v>
      </c>
      <c r="F11" s="272">
        <f t="shared" si="9"/>
        <v>0.35517569041042563</v>
      </c>
      <c r="G11" s="312">
        <v>0.5</v>
      </c>
      <c r="H11" s="196">
        <f t="shared" si="1"/>
        <v>3374.0306034869336</v>
      </c>
      <c r="I11" s="196">
        <f t="shared" si="2"/>
        <v>11648.702531532124</v>
      </c>
      <c r="J11" s="313">
        <f t="shared" si="3"/>
        <v>0.5</v>
      </c>
      <c r="K11" s="196">
        <f t="shared" si="4"/>
        <v>11648.702531532124</v>
      </c>
      <c r="L11" s="313">
        <f t="shared" si="5"/>
        <v>0.5</v>
      </c>
      <c r="M11" s="195">
        <f t="shared" si="6"/>
        <v>2</v>
      </c>
      <c r="N11" s="196">
        <f>'07c_ATC_Ajustado'!R62</f>
        <v>6369.5440403549974</v>
      </c>
      <c r="O11" s="196">
        <f t="shared" si="10"/>
        <v>18018.246571887121</v>
      </c>
      <c r="P11" s="196">
        <f t="shared" si="7"/>
        <v>5279.1584911771279</v>
      </c>
      <c r="Q11" s="196">
        <f t="shared" si="11"/>
        <v>23297.405063064249</v>
      </c>
      <c r="R11" s="314">
        <f>'08_ATC_por_USOS'!E12</f>
        <v>40074.776737422071</v>
      </c>
      <c r="S11" s="315">
        <f t="shared" si="8"/>
        <v>0.13173269874383148</v>
      </c>
      <c r="T11" s="482">
        <f t="shared" si="12"/>
        <v>12739.088080709995</v>
      </c>
      <c r="U11" s="196">
        <f t="shared" si="13"/>
        <v>10558.316982354256</v>
      </c>
      <c r="V11" s="274"/>
    </row>
    <row r="12" spans="1:22">
      <c r="A12" s="195">
        <v>7</v>
      </c>
      <c r="B12" s="196">
        <f>'13a_ECP'!X3</f>
        <v>15128.55451770372</v>
      </c>
      <c r="C12" s="196">
        <f>'04c_Resumen_MO'!H12</f>
        <v>983.66140280594755</v>
      </c>
      <c r="D12" s="196">
        <f>'07c_ATC_Ajustado'!AX71</f>
        <v>4050.4387026061781</v>
      </c>
      <c r="E12" s="196">
        <f t="shared" si="0"/>
        <v>5034.1001054121261</v>
      </c>
      <c r="F12" s="272">
        <f t="shared" si="9"/>
        <v>0.332754864288001</v>
      </c>
      <c r="G12" s="312">
        <v>0.5</v>
      </c>
      <c r="H12" s="196">
        <f t="shared" si="1"/>
        <v>2530.177153439734</v>
      </c>
      <c r="I12" s="196">
        <f t="shared" si="2"/>
        <v>7564.2772588518601</v>
      </c>
      <c r="J12" s="313">
        <f t="shared" si="3"/>
        <v>0.5</v>
      </c>
      <c r="K12" s="196">
        <f t="shared" si="4"/>
        <v>7564.2772588518601</v>
      </c>
      <c r="L12" s="313">
        <f t="shared" si="5"/>
        <v>0.5</v>
      </c>
      <c r="M12" s="195">
        <f t="shared" si="6"/>
        <v>2</v>
      </c>
      <c r="N12" s="196">
        <f>'07c_ATC_Ajustado'!R71</f>
        <v>4050.4387026061781</v>
      </c>
      <c r="O12" s="196">
        <f t="shared" si="10"/>
        <v>11614.715961458038</v>
      </c>
      <c r="P12" s="196">
        <f t="shared" si="7"/>
        <v>3513.8385562456824</v>
      </c>
      <c r="Q12" s="196">
        <f t="shared" si="11"/>
        <v>15128.55451770372</v>
      </c>
      <c r="R12" s="314">
        <f>'08_ATC_por_USOS'!E13</f>
        <v>27331.84406417084</v>
      </c>
      <c r="S12" s="315">
        <f t="shared" si="8"/>
        <v>0.12856207389430974</v>
      </c>
      <c r="T12" s="482">
        <f t="shared" si="12"/>
        <v>8100.8774052123563</v>
      </c>
      <c r="U12" s="196">
        <f t="shared" si="13"/>
        <v>7027.6771124913639</v>
      </c>
      <c r="V12" s="274"/>
    </row>
    <row r="13" spans="1:22" ht="14.45" thickBot="1">
      <c r="A13" s="195">
        <v>8</v>
      </c>
      <c r="B13" s="196">
        <f>'13a_ECP'!Z3</f>
        <v>7507.4290361681651</v>
      </c>
      <c r="C13" s="196">
        <f>'04c_Resumen_MO'!H13</f>
        <v>1355.267661338411</v>
      </c>
      <c r="D13" s="196">
        <f>'07c_ATC_Ajustado'!AX80</f>
        <v>3444.0363442607454</v>
      </c>
      <c r="E13" s="196">
        <f t="shared" si="0"/>
        <v>4799.3040055991569</v>
      </c>
      <c r="F13" s="272">
        <f t="shared" si="9"/>
        <v>0.63927397548185805</v>
      </c>
      <c r="G13" s="312">
        <v>0.5</v>
      </c>
      <c r="H13" s="196">
        <v>0</v>
      </c>
      <c r="I13" s="196">
        <f t="shared" si="2"/>
        <v>4799.3040055991569</v>
      </c>
      <c r="J13" s="313">
        <f t="shared" si="3"/>
        <v>0.63927397548185805</v>
      </c>
      <c r="K13" s="196">
        <f t="shared" si="4"/>
        <v>2708.1250305690082</v>
      </c>
      <c r="L13" s="313">
        <f t="shared" si="5"/>
        <v>0.36072602451814195</v>
      </c>
      <c r="M13" s="195">
        <f t="shared" si="6"/>
        <v>1</v>
      </c>
      <c r="N13" s="196">
        <f>'07c_ATC_Ajustado'!R80</f>
        <v>3444.0363442607454</v>
      </c>
      <c r="O13" s="196">
        <f t="shared" si="10"/>
        <v>8243.3403498599018</v>
      </c>
      <c r="P13" s="196">
        <f t="shared" si="7"/>
        <v>-735.91131369173672</v>
      </c>
      <c r="Q13" s="196">
        <f t="shared" si="11"/>
        <v>7507.4290361681651</v>
      </c>
      <c r="R13" s="314">
        <f>'08_ATC_por_USOS'!E14</f>
        <v>31531.201951906296</v>
      </c>
      <c r="S13" s="315">
        <f t="shared" si="8"/>
        <v>-2.3339145612469917E-2</v>
      </c>
      <c r="T13" s="483">
        <f t="shared" si="12"/>
        <v>6888.0726885214908</v>
      </c>
      <c r="U13" s="420">
        <f t="shared" si="13"/>
        <v>619.35634764667429</v>
      </c>
      <c r="V13" s="484"/>
    </row>
    <row r="14" spans="1:22">
      <c r="Q14" s="271">
        <f>SUM(Q6:Q13)</f>
        <v>141172.16291652626</v>
      </c>
    </row>
    <row r="15" spans="1:22">
      <c r="E15" s="164"/>
    </row>
  </sheetData>
  <mergeCells count="8">
    <mergeCell ref="A1:A3"/>
    <mergeCell ref="B1:Q1"/>
    <mergeCell ref="B2:B3"/>
    <mergeCell ref="R2:S2"/>
    <mergeCell ref="R3:S3"/>
    <mergeCell ref="K2:N2"/>
    <mergeCell ref="I3:J3"/>
    <mergeCell ref="G3:H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290BF-355E-44CE-A302-98649162C0FE}">
  <sheetPr>
    <tabColor theme="0" tint="-4.9989318521683403E-2"/>
  </sheetPr>
  <dimension ref="A1:CG21"/>
  <sheetViews>
    <sheetView topLeftCell="BG1" zoomScaleNormal="100" workbookViewId="0">
      <selection activeCell="BO8" sqref="BO8"/>
    </sheetView>
  </sheetViews>
  <sheetFormatPr defaultColWidth="11.375" defaultRowHeight="13.9"/>
  <cols>
    <col min="1" max="1" width="4.875" style="25" bestFit="1" customWidth="1"/>
    <col min="2" max="2" width="13.125" style="107" bestFit="1" customWidth="1"/>
    <col min="3" max="3" width="17.75" style="107" bestFit="1" customWidth="1"/>
    <col min="4" max="4" width="12" style="107" bestFit="1" customWidth="1"/>
    <col min="5" max="5" width="15" style="107" bestFit="1" customWidth="1"/>
    <col min="6" max="6" width="12" style="107" bestFit="1" customWidth="1"/>
    <col min="7" max="7" width="13.125" style="107" bestFit="1" customWidth="1"/>
    <col min="8" max="8" width="10.875" style="107" bestFit="1" customWidth="1"/>
    <col min="9" max="10" width="12" style="107" bestFit="1" customWidth="1"/>
    <col min="11" max="11" width="13.125" style="107" bestFit="1" customWidth="1"/>
    <col min="12" max="13" width="12" style="107" bestFit="1" customWidth="1"/>
    <col min="14" max="14" width="16.75" style="107" bestFit="1" customWidth="1"/>
    <col min="15" max="15" width="15" style="107" bestFit="1" customWidth="1"/>
    <col min="16" max="16" width="9.375" style="107" bestFit="1" customWidth="1"/>
    <col min="17" max="17" width="19.75" style="107" bestFit="1" customWidth="1"/>
    <col min="18" max="18" width="21" style="107" bestFit="1" customWidth="1"/>
    <col min="19" max="19" width="18.625" style="107" bestFit="1" customWidth="1"/>
    <col min="20" max="20" width="20.375" style="107" bestFit="1" customWidth="1"/>
    <col min="21" max="21" width="22" style="107" bestFit="1" customWidth="1"/>
    <col min="22" max="22" width="21.75" style="107" bestFit="1" customWidth="1"/>
    <col min="23" max="24" width="19.75" style="107" bestFit="1" customWidth="1"/>
    <col min="25" max="25" width="22" style="107" bestFit="1" customWidth="1"/>
    <col min="26" max="26" width="19.75" style="107" bestFit="1" customWidth="1"/>
    <col min="27" max="27" width="29.625" style="107" bestFit="1" customWidth="1"/>
    <col min="28" max="28" width="5.375" style="180" bestFit="1" customWidth="1"/>
    <col min="29" max="29" width="11.75" style="180" customWidth="1"/>
    <col min="30" max="30" width="15" style="107" bestFit="1" customWidth="1"/>
    <col min="31" max="31" width="12" style="107" bestFit="1" customWidth="1"/>
    <col min="32" max="32" width="13.125" style="107" bestFit="1" customWidth="1"/>
    <col min="33" max="33" width="10.875" style="107" bestFit="1" customWidth="1"/>
    <col min="34" max="35" width="13.125" style="107" bestFit="1" customWidth="1"/>
    <col min="36" max="36" width="15" style="107" bestFit="1" customWidth="1"/>
    <col min="37" max="38" width="12" style="107" bestFit="1" customWidth="1"/>
    <col min="39" max="39" width="16.625" style="107" customWidth="1"/>
    <col min="40" max="40" width="15" style="107" bestFit="1" customWidth="1"/>
    <col min="41" max="41" width="11.375" style="107"/>
    <col min="42" max="42" width="18.625" style="107" bestFit="1" customWidth="1"/>
    <col min="43" max="43" width="20.375" style="107" bestFit="1" customWidth="1"/>
    <col min="44" max="44" width="17.375" style="107" bestFit="1" customWidth="1"/>
    <col min="45" max="45" width="21.625" style="107" bestFit="1" customWidth="1"/>
    <col min="46" max="46" width="19.75" style="107" bestFit="1" customWidth="1"/>
    <col min="47" max="47" width="21.75" style="107" bestFit="1" customWidth="1"/>
    <col min="48" max="50" width="19.75" style="107" bestFit="1" customWidth="1"/>
    <col min="51" max="51" width="21.75" style="107" bestFit="1" customWidth="1"/>
    <col min="52" max="52" width="11.375" style="107"/>
    <col min="53" max="53" width="12" style="392" bestFit="1" customWidth="1"/>
    <col min="54" max="55" width="21.75" style="392" bestFit="1" customWidth="1"/>
    <col min="56" max="56" width="23.125" style="392" customWidth="1"/>
    <col min="57" max="57" width="25" style="392" bestFit="1" customWidth="1"/>
    <col min="58" max="58" width="25" style="392" customWidth="1"/>
    <col min="59" max="59" width="4.875" style="392" customWidth="1"/>
    <col min="60" max="60" width="20.375" style="392" bestFit="1" customWidth="1"/>
    <col min="61" max="61" width="20.375" style="393" bestFit="1" customWidth="1"/>
    <col min="62" max="62" width="11.75" style="393" customWidth="1"/>
    <col min="63" max="63" width="17.625" style="393" bestFit="1" customWidth="1"/>
    <col min="64" max="64" width="21.625" style="392" bestFit="1" customWidth="1"/>
    <col min="65" max="65" width="9.125" style="392" customWidth="1"/>
    <col min="66" max="67" width="21.625" style="392" customWidth="1"/>
    <col min="68" max="68" width="6.625" style="392" customWidth="1"/>
    <col min="69" max="70" width="18.375" style="392" bestFit="1" customWidth="1"/>
    <col min="71" max="71" width="17.25" style="392" bestFit="1" customWidth="1"/>
    <col min="72" max="73" width="18.375" style="392" bestFit="1" customWidth="1"/>
    <col min="74" max="74" width="21.625" style="392" bestFit="1" customWidth="1"/>
    <col min="75" max="77" width="18.375" style="392" bestFit="1" customWidth="1"/>
    <col min="78" max="78" width="21.625" style="392" bestFit="1" customWidth="1"/>
    <col min="79" max="79" width="7.75" style="392" customWidth="1"/>
    <col min="80" max="80" width="27.25" style="392" customWidth="1"/>
    <col min="81" max="81" width="6.875" style="392" customWidth="1"/>
    <col min="82" max="82" width="24.625" style="392" bestFit="1" customWidth="1"/>
    <col min="83" max="83" width="14.875" style="392" bestFit="1" customWidth="1"/>
    <col min="84" max="84" width="21.625" style="392" bestFit="1" customWidth="1"/>
    <col min="85" max="85" width="24.625" style="392" bestFit="1" customWidth="1"/>
    <col min="86" max="16384" width="11.375" style="107"/>
  </cols>
  <sheetData>
    <row r="1" spans="1:85">
      <c r="A1" s="1683" t="s">
        <v>772</v>
      </c>
      <c r="B1" s="1683"/>
      <c r="C1" s="1683"/>
      <c r="D1" s="1683"/>
      <c r="E1" s="1683"/>
      <c r="F1" s="1683"/>
      <c r="G1" s="1683"/>
      <c r="H1" s="1683"/>
      <c r="I1" s="1683"/>
      <c r="J1" s="1683"/>
      <c r="K1" s="1683"/>
      <c r="L1" s="1683"/>
      <c r="M1" s="1683"/>
      <c r="N1" s="1683"/>
      <c r="O1" s="1683"/>
      <c r="P1" s="1683"/>
      <c r="Q1" s="1683"/>
      <c r="R1" s="1683"/>
      <c r="S1" s="1683"/>
      <c r="T1" s="1683"/>
      <c r="U1" s="1683"/>
      <c r="V1" s="1683"/>
      <c r="W1" s="1683"/>
      <c r="X1" s="1683"/>
      <c r="Y1" s="1683"/>
      <c r="Z1" s="1683"/>
      <c r="AA1" s="1683"/>
      <c r="AB1" s="1683"/>
      <c r="AC1" s="1683"/>
      <c r="AD1" s="1683"/>
      <c r="AE1" s="1683"/>
      <c r="AF1" s="1683"/>
      <c r="AG1" s="1683"/>
      <c r="AH1" s="1683"/>
      <c r="AI1" s="1683"/>
      <c r="AJ1" s="1683"/>
      <c r="AK1" s="1683"/>
      <c r="AL1" s="1683"/>
      <c r="AM1" s="1683"/>
      <c r="AN1" s="1683"/>
      <c r="AO1" s="1683"/>
      <c r="AP1" s="1683"/>
      <c r="AQ1" s="1683"/>
      <c r="AR1" s="1683"/>
      <c r="AS1" s="1683"/>
      <c r="AT1" s="1683"/>
      <c r="AU1" s="1683"/>
      <c r="AV1" s="1683"/>
      <c r="AW1" s="1683"/>
      <c r="AX1" s="1683"/>
      <c r="AY1" s="1683"/>
      <c r="AZ1" s="1683"/>
      <c r="BA1" s="1683"/>
      <c r="BB1" s="1683"/>
      <c r="BC1" s="1683"/>
      <c r="BD1" s="1683"/>
      <c r="BE1" s="1683"/>
      <c r="BF1" s="1683"/>
      <c r="BG1" s="1683"/>
      <c r="BH1" s="1683"/>
      <c r="BI1" s="1683"/>
      <c r="BJ1" s="1683"/>
      <c r="BK1" s="1683"/>
      <c r="BL1" s="1683"/>
      <c r="BM1" s="1683"/>
      <c r="BN1" s="1683"/>
      <c r="BO1" s="1683"/>
      <c r="BP1" s="1683"/>
      <c r="BQ1" s="1683"/>
      <c r="BR1" s="1683"/>
      <c r="BS1" s="1683"/>
      <c r="BT1" s="1683"/>
      <c r="BU1" s="1683"/>
      <c r="BV1" s="1683"/>
      <c r="BW1" s="1683"/>
      <c r="BX1" s="1683"/>
      <c r="BY1" s="1683"/>
      <c r="BZ1" s="1683"/>
      <c r="CA1" s="1683"/>
      <c r="CB1" s="1683"/>
      <c r="CC1" s="1683"/>
      <c r="CD1" s="1683"/>
      <c r="CE1" s="1683"/>
      <c r="CF1" s="1683"/>
      <c r="CG1" s="1683"/>
    </row>
    <row r="2" spans="1:85" s="123" customFormat="1" ht="41.45">
      <c r="A2" s="1685" t="s">
        <v>247</v>
      </c>
      <c r="B2" s="1685" t="s">
        <v>575</v>
      </c>
      <c r="C2" s="1685" t="s">
        <v>773</v>
      </c>
      <c r="D2" s="1685" t="s">
        <v>556</v>
      </c>
      <c r="E2" s="1685" t="s">
        <v>774</v>
      </c>
      <c r="F2" s="1685"/>
      <c r="G2" s="1685"/>
      <c r="H2" s="1685"/>
      <c r="I2" s="1685"/>
      <c r="J2" s="1685"/>
      <c r="K2" s="1685"/>
      <c r="L2" s="1685"/>
      <c r="M2" s="1685"/>
      <c r="N2" s="1685"/>
      <c r="O2" s="1685"/>
      <c r="P2" s="1058"/>
      <c r="Q2" s="1685" t="s">
        <v>775</v>
      </c>
      <c r="R2" s="1685"/>
      <c r="S2" s="1685"/>
      <c r="T2" s="1685"/>
      <c r="U2" s="1685"/>
      <c r="V2" s="1685"/>
      <c r="W2" s="1685"/>
      <c r="X2" s="1685"/>
      <c r="Y2" s="1685"/>
      <c r="Z2" s="1685"/>
      <c r="AA2" s="1685"/>
      <c r="AB2" s="1685"/>
      <c r="AC2" s="1059"/>
      <c r="AD2" s="1060" t="s">
        <v>802</v>
      </c>
      <c r="AE2" s="1060"/>
      <c r="AF2" s="1060"/>
      <c r="AG2" s="1060"/>
      <c r="AH2" s="1060"/>
      <c r="AI2" s="1060"/>
      <c r="AJ2" s="1060"/>
      <c r="AK2" s="1060"/>
      <c r="AL2" s="1060"/>
      <c r="AM2" s="1060"/>
      <c r="AN2" s="1060"/>
      <c r="AO2" s="1058"/>
      <c r="AP2" s="1060" t="s">
        <v>803</v>
      </c>
      <c r="AQ2" s="1060"/>
      <c r="AR2" s="1060"/>
      <c r="AS2" s="1060"/>
      <c r="AT2" s="1060"/>
      <c r="AU2" s="1060"/>
      <c r="AV2" s="1060"/>
      <c r="AW2" s="1060"/>
      <c r="AX2" s="1060"/>
      <c r="AY2" s="1060"/>
      <c r="AZ2" s="1058"/>
      <c r="BA2" s="1685" t="s">
        <v>804</v>
      </c>
      <c r="BB2" s="1685"/>
      <c r="BC2" s="1057" t="s">
        <v>805</v>
      </c>
      <c r="BD2" s="1057" t="s">
        <v>806</v>
      </c>
      <c r="BE2" s="1057" t="s">
        <v>807</v>
      </c>
      <c r="BF2" s="1057" t="s">
        <v>259</v>
      </c>
      <c r="BG2" s="1057"/>
      <c r="BH2" s="1057" t="s">
        <v>808</v>
      </c>
      <c r="BI2" s="1061" t="s">
        <v>809</v>
      </c>
      <c r="BJ2" s="1686" t="s">
        <v>810</v>
      </c>
      <c r="BK2" s="1686"/>
      <c r="BL2" s="1057" t="s">
        <v>811</v>
      </c>
      <c r="BM2" s="1057"/>
      <c r="BN2" s="1057" t="s">
        <v>812</v>
      </c>
      <c r="BO2" s="1057" t="s">
        <v>813</v>
      </c>
      <c r="BP2" s="1058"/>
      <c r="BQ2" s="1685" t="s">
        <v>814</v>
      </c>
      <c r="BR2" s="1685"/>
      <c r="BS2" s="1685"/>
      <c r="BT2" s="1685"/>
      <c r="BU2" s="1685"/>
      <c r="BV2" s="1685"/>
      <c r="BW2" s="1685"/>
      <c r="BX2" s="1685"/>
      <c r="BY2" s="1685"/>
      <c r="BZ2" s="1685"/>
      <c r="CA2" s="1057"/>
      <c r="CB2" s="1058" t="s">
        <v>815</v>
      </c>
      <c r="CC2" s="1058"/>
      <c r="CD2" s="1057" t="s">
        <v>816</v>
      </c>
      <c r="CE2" s="1057" t="s">
        <v>817</v>
      </c>
      <c r="CF2" s="1057" t="s">
        <v>818</v>
      </c>
      <c r="CG2" s="1057" t="s">
        <v>819</v>
      </c>
    </row>
    <row r="3" spans="1:85" s="123" customFormat="1">
      <c r="A3" s="1685"/>
      <c r="B3" s="1685"/>
      <c r="C3" s="1685"/>
      <c r="D3" s="1685"/>
      <c r="E3" s="1057"/>
      <c r="F3" s="1057"/>
      <c r="G3" s="1057"/>
      <c r="H3" s="1057"/>
      <c r="I3" s="1057"/>
      <c r="J3" s="1057"/>
      <c r="K3" s="1057"/>
      <c r="L3" s="1057"/>
      <c r="M3" s="1057"/>
      <c r="N3" s="1057"/>
      <c r="O3" s="1057"/>
      <c r="P3" s="1058"/>
      <c r="Q3" s="1057"/>
      <c r="R3" s="1057"/>
      <c r="S3" s="1057"/>
      <c r="T3" s="1057"/>
      <c r="U3" s="1057"/>
      <c r="V3" s="1057"/>
      <c r="W3" s="1057"/>
      <c r="X3" s="1057"/>
      <c r="Y3" s="1057"/>
      <c r="Z3" s="1057"/>
      <c r="AA3" s="1057"/>
      <c r="AB3" s="1059"/>
      <c r="AC3" s="1059"/>
      <c r="AD3" s="1060"/>
      <c r="AE3" s="1060"/>
      <c r="AF3" s="1060"/>
      <c r="AG3" s="1060"/>
      <c r="AH3" s="1060"/>
      <c r="AI3" s="1060"/>
      <c r="AJ3" s="1060"/>
      <c r="AK3" s="1060"/>
      <c r="AL3" s="1060"/>
      <c r="AM3" s="1060"/>
      <c r="AN3" s="1060"/>
      <c r="AO3" s="1058"/>
      <c r="AP3" s="1060"/>
      <c r="AQ3" s="1060"/>
      <c r="AR3" s="1060"/>
      <c r="AS3" s="1060"/>
      <c r="AT3" s="1060"/>
      <c r="AU3" s="1060"/>
      <c r="AV3" s="1060"/>
      <c r="AW3" s="1060"/>
      <c r="AX3" s="1060"/>
      <c r="AY3" s="1062">
        <f>AY7/AA7</f>
        <v>0.53879691951230391</v>
      </c>
      <c r="AZ3" s="1058"/>
      <c r="BA3" s="1058"/>
      <c r="BB3" s="1063">
        <f>BB7/AA7</f>
        <v>9.6393846572047912E-4</v>
      </c>
      <c r="BC3" s="1059">
        <f>BC7/AA7</f>
        <v>0.20000000000000004</v>
      </c>
      <c r="BD3" s="1063">
        <f>BD7/AA7</f>
        <v>1.4155499298156371E-3</v>
      </c>
      <c r="BE3" s="1063">
        <f>BE7/AA7</f>
        <v>1.5153504778746751E-2</v>
      </c>
      <c r="BF3" s="1063"/>
      <c r="BG3" s="1063"/>
      <c r="BH3" s="1063">
        <f>BH7/AA7</f>
        <v>1.7546873489377048E-4</v>
      </c>
      <c r="BI3" s="1063" t="e">
        <f>BI7/AA7</f>
        <v>#REF!</v>
      </c>
      <c r="BJ3" s="1063"/>
      <c r="BK3" s="1063">
        <f>BK7/AA7</f>
        <v>9.8701163377745899E-4</v>
      </c>
      <c r="BL3" s="1064" t="e">
        <f>BL7/AA7</f>
        <v>#REF!</v>
      </c>
      <c r="BM3" s="1064"/>
      <c r="BN3" s="1064"/>
      <c r="BO3" s="1064"/>
      <c r="BP3" s="1058"/>
      <c r="BQ3" s="1058"/>
      <c r="BR3" s="1058"/>
      <c r="BS3" s="1058"/>
      <c r="BT3" s="1058"/>
      <c r="BU3" s="1058"/>
      <c r="BV3" s="1058"/>
      <c r="BW3" s="1058"/>
      <c r="BX3" s="1058"/>
      <c r="BY3" s="1058"/>
      <c r="BZ3" s="1064">
        <f>BZ7/AA7</f>
        <v>0.11999300979618381</v>
      </c>
      <c r="CA3" s="1058"/>
      <c r="CB3" s="1064" t="e">
        <f>CB7/AA7</f>
        <v>#REF!</v>
      </c>
      <c r="CC3" s="1058"/>
      <c r="CD3" s="1064" t="e">
        <f>CD7/AA7</f>
        <v>#REF!</v>
      </c>
      <c r="CE3" s="1065"/>
      <c r="CF3" s="1058"/>
      <c r="CG3" s="1058"/>
    </row>
    <row r="4" spans="1:85" s="125" customFormat="1" ht="26.45">
      <c r="A4" s="1685"/>
      <c r="B4" s="1685"/>
      <c r="C4" s="1685"/>
      <c r="D4" s="1685"/>
      <c r="E4" s="1066"/>
      <c r="F4" s="1056"/>
      <c r="G4" s="1056"/>
      <c r="H4" s="1056"/>
      <c r="I4" s="1056"/>
      <c r="J4" s="1056"/>
      <c r="K4" s="1056"/>
      <c r="L4" s="1056"/>
      <c r="M4" s="1056"/>
      <c r="N4" s="1056"/>
      <c r="O4" s="1056"/>
      <c r="P4" s="1067" t="s">
        <v>776</v>
      </c>
      <c r="Q4" s="1068">
        <f>'00_Datos_General'!E4</f>
        <v>6500000</v>
      </c>
      <c r="R4" s="1068">
        <f>'00_Datos_General'!E5</f>
        <v>7500000</v>
      </c>
      <c r="S4" s="1068">
        <f>'00_Datos_General'!E6</f>
        <v>3000000</v>
      </c>
      <c r="T4" s="1068">
        <f>'00_Datos_General'!E7</f>
        <v>12000000</v>
      </c>
      <c r="U4" s="1068">
        <f>'00_Datos_General'!E8</f>
        <v>9000000</v>
      </c>
      <c r="V4" s="1068">
        <f>'00_Datos_General'!E9</f>
        <v>7500000</v>
      </c>
      <c r="W4" s="1068">
        <f>'00_Datos_General'!E10</f>
        <v>6383507.8125</v>
      </c>
      <c r="X4" s="1068">
        <f>'00_Datos_General'!E11</f>
        <v>3751939.2857142859</v>
      </c>
      <c r="Y4" s="1068"/>
      <c r="Z4" s="1068">
        <f>'00_Datos_General'!C26</f>
        <v>50000000</v>
      </c>
      <c r="AA4" s="1056"/>
      <c r="AB4" s="1069"/>
      <c r="AC4" s="1069"/>
      <c r="AD4" s="1066"/>
      <c r="AE4" s="1066"/>
      <c r="AF4" s="1066"/>
      <c r="AG4" s="1066"/>
      <c r="AH4" s="1066"/>
      <c r="AI4" s="1066"/>
      <c r="AJ4" s="1066"/>
      <c r="AK4" s="1066"/>
      <c r="AL4" s="1066"/>
      <c r="AM4" s="1066"/>
      <c r="AN4" s="1066"/>
      <c r="AO4" s="1066"/>
      <c r="AP4" s="1070">
        <f>'00_Datos_General'!C4</f>
        <v>2275000</v>
      </c>
      <c r="AQ4" s="1070">
        <f>'00_Datos_General'!C5</f>
        <v>2625000</v>
      </c>
      <c r="AR4" s="1070">
        <f>'00_Datos_General'!C6</f>
        <v>1500000</v>
      </c>
      <c r="AS4" s="1070">
        <f>'00_Datos_General'!C7</f>
        <v>4200000</v>
      </c>
      <c r="AT4" s="1070">
        <f>'00_Datos_General'!C8</f>
        <v>3150000</v>
      </c>
      <c r="AU4" s="1070">
        <f>'00_Datos_General'!C9</f>
        <v>3375000</v>
      </c>
      <c r="AV4" s="1070">
        <f>'00_Datos_General'!C10</f>
        <v>2872578.515625</v>
      </c>
      <c r="AW4" s="1070">
        <f>'00_Datos_General'!C11</f>
        <v>1688372.6785714286</v>
      </c>
      <c r="AX4" s="1070">
        <f>'00_Datos_General'!C27</f>
        <v>1500000</v>
      </c>
      <c r="AY4" s="1066"/>
      <c r="AZ4" s="1066"/>
      <c r="BA4" s="1066"/>
      <c r="BB4" s="1071">
        <f>'00_Datos_General'!C15</f>
        <v>200000</v>
      </c>
      <c r="BC4" s="1072">
        <v>0.2</v>
      </c>
      <c r="BD4" s="1066"/>
      <c r="BE4" s="1066"/>
      <c r="BF4" s="1066"/>
      <c r="BG4" s="1066"/>
      <c r="BH4" s="1066"/>
      <c r="BI4" s="1073"/>
      <c r="BJ4" s="1073" t="s">
        <v>220</v>
      </c>
      <c r="BK4" s="1073" t="s">
        <v>176</v>
      </c>
      <c r="BL4" s="1066"/>
      <c r="BM4" s="1066"/>
      <c r="BN4" s="1066"/>
      <c r="BO4" s="1066"/>
      <c r="BP4" s="1066"/>
      <c r="BQ4" s="1066"/>
      <c r="BR4" s="1066"/>
      <c r="BS4" s="1066"/>
      <c r="BT4" s="1066"/>
      <c r="BU4" s="1066"/>
      <c r="BV4" s="1066"/>
      <c r="BW4" s="1066"/>
      <c r="BX4" s="1066"/>
      <c r="BY4" s="1066"/>
      <c r="BZ4" s="1066"/>
      <c r="CA4" s="1066"/>
      <c r="CB4" s="1066"/>
      <c r="CC4" s="1066"/>
      <c r="CD4" s="1066"/>
      <c r="CE4" s="1066"/>
      <c r="CF4" s="1074">
        <f>'00_Datos_General'!C23</f>
        <v>3535000</v>
      </c>
      <c r="CG4" s="1075" t="e">
        <f>CG7/B7</f>
        <v>#REF!</v>
      </c>
    </row>
    <row r="5" spans="1:85" ht="82.9">
      <c r="A5" s="1685"/>
      <c r="B5" s="1685"/>
      <c r="C5" s="1685"/>
      <c r="D5" s="1685"/>
      <c r="E5" s="1057" t="s">
        <v>729</v>
      </c>
      <c r="F5" s="1076" t="str">
        <f>'08_ATC_por_USOS'!G2</f>
        <v xml:space="preserve">a_CS - Creativos </v>
      </c>
      <c r="G5" s="1076" t="str">
        <f>'08_ATC_por_USOS'!K2</f>
        <v>b_CS - General (Comercio + Oficinas + Hospedaje)</v>
      </c>
      <c r="H5" s="1076" t="str">
        <f>'08_ATC_por_USOS'!O2</f>
        <v>c_CS - Grandes Superficies</v>
      </c>
      <c r="I5" s="1076" t="str">
        <f>'08_ATC_por_USOS'!S2</f>
        <v>d_CS - Torre Empresarial (Oficinas + Hospedaje)</v>
      </c>
      <c r="J5" s="1076" t="str">
        <f>'08_ATC_por_USOS'!W2</f>
        <v>e_CS - Innovation (H, CS, Gamers)</v>
      </c>
      <c r="K5" s="1076" t="str">
        <f>'08_ATC_por_USOS'!AA2</f>
        <v>i_RES - No VIS</v>
      </c>
      <c r="L5" s="1057" t="str">
        <f>'08_ATC_por_USOS'!AJ2</f>
        <v>h_VIS_RU</v>
      </c>
      <c r="M5" s="1057" t="str">
        <f>'08_ATC_por_USOS'!AN2</f>
        <v>i_VIP RU</v>
      </c>
      <c r="N5" s="1057" t="s">
        <v>820</v>
      </c>
      <c r="O5" s="1057" t="s">
        <v>778</v>
      </c>
      <c r="P5" s="1066"/>
      <c r="Q5" s="1076" t="str">
        <f>F5</f>
        <v xml:space="preserve">a_CS - Creativos </v>
      </c>
      <c r="R5" s="1076" t="str">
        <f t="shared" ref="R5:X5" si="0">G5</f>
        <v>b_CS - General (Comercio + Oficinas + Hospedaje)</v>
      </c>
      <c r="S5" s="1076" t="str">
        <f t="shared" si="0"/>
        <v>c_CS - Grandes Superficies</v>
      </c>
      <c r="T5" s="1076" t="str">
        <f t="shared" si="0"/>
        <v>d_CS - Torre Empresarial (Oficinas + Hospedaje)</v>
      </c>
      <c r="U5" s="1076" t="str">
        <f t="shared" si="0"/>
        <v>e_CS - Innovation (H, CS, Gamers)</v>
      </c>
      <c r="V5" s="1076" t="str">
        <f t="shared" si="0"/>
        <v>i_RES - No VIS</v>
      </c>
      <c r="W5" s="1076" t="str">
        <f t="shared" si="0"/>
        <v>h_VIS_RU</v>
      </c>
      <c r="X5" s="1076" t="str">
        <f t="shared" si="0"/>
        <v>i_VIP RU</v>
      </c>
      <c r="Y5" s="1076" t="s">
        <v>779</v>
      </c>
      <c r="Z5" s="1076" t="s">
        <v>780</v>
      </c>
      <c r="AA5" s="1684" t="s">
        <v>781</v>
      </c>
      <c r="AB5" s="1684"/>
      <c r="AC5" s="1076"/>
      <c r="AD5" s="1057" t="s">
        <v>821</v>
      </c>
      <c r="AE5" s="1077" t="str">
        <f t="shared" ref="AE5:AL5" si="1">F5</f>
        <v xml:space="preserve">a_CS - Creativos </v>
      </c>
      <c r="AF5" s="1077" t="str">
        <f t="shared" si="1"/>
        <v>b_CS - General (Comercio + Oficinas + Hospedaje)</v>
      </c>
      <c r="AG5" s="1077" t="str">
        <f t="shared" si="1"/>
        <v>c_CS - Grandes Superficies</v>
      </c>
      <c r="AH5" s="1077" t="str">
        <f t="shared" si="1"/>
        <v>d_CS - Torre Empresarial (Oficinas + Hospedaje)</v>
      </c>
      <c r="AI5" s="1077" t="str">
        <f t="shared" si="1"/>
        <v>e_CS - Innovation (H, CS, Gamers)</v>
      </c>
      <c r="AJ5" s="1077" t="str">
        <f t="shared" si="1"/>
        <v>i_RES - No VIS</v>
      </c>
      <c r="AK5" s="1077" t="str">
        <f t="shared" si="1"/>
        <v>h_VIS_RU</v>
      </c>
      <c r="AL5" s="1077" t="str">
        <f t="shared" si="1"/>
        <v>i_VIP RU</v>
      </c>
      <c r="AM5" s="1076" t="str">
        <f t="shared" ref="AM5" si="2">N5</f>
        <v>Area estacionamientos</v>
      </c>
      <c r="AN5" s="1076" t="s">
        <v>822</v>
      </c>
      <c r="AO5" s="1078"/>
      <c r="AP5" s="1077" t="str">
        <f>AE5</f>
        <v xml:space="preserve">a_CS - Creativos </v>
      </c>
      <c r="AQ5" s="1077" t="str">
        <f t="shared" ref="AQ5:AY5" si="3">AF5</f>
        <v>b_CS - General (Comercio + Oficinas + Hospedaje)</v>
      </c>
      <c r="AR5" s="1077" t="str">
        <f t="shared" si="3"/>
        <v>c_CS - Grandes Superficies</v>
      </c>
      <c r="AS5" s="1077" t="str">
        <f t="shared" si="3"/>
        <v>d_CS - Torre Empresarial (Oficinas + Hospedaje)</v>
      </c>
      <c r="AT5" s="1077" t="str">
        <f t="shared" si="3"/>
        <v>e_CS - Innovation (H, CS, Gamers)</v>
      </c>
      <c r="AU5" s="1077" t="str">
        <f t="shared" si="3"/>
        <v>i_RES - No VIS</v>
      </c>
      <c r="AV5" s="1077" t="str">
        <f t="shared" si="3"/>
        <v>h_VIS_RU</v>
      </c>
      <c r="AW5" s="1077" t="str">
        <f t="shared" si="3"/>
        <v>i_VIP RU</v>
      </c>
      <c r="AX5" s="1076" t="str">
        <f t="shared" si="3"/>
        <v>Area estacionamientos</v>
      </c>
      <c r="AY5" s="1076" t="str">
        <f t="shared" si="3"/>
        <v>Total A.T.C.</v>
      </c>
      <c r="AZ5" s="1078"/>
      <c r="BA5" s="1078"/>
      <c r="BB5" s="1066"/>
      <c r="BC5" s="1066"/>
      <c r="BD5" s="1066"/>
      <c r="BE5" s="1066"/>
      <c r="BF5" s="1066"/>
      <c r="BG5" s="1066"/>
      <c r="BH5" s="1066"/>
      <c r="BI5" s="1073"/>
      <c r="BJ5" s="1073"/>
      <c r="BK5" s="1073"/>
      <c r="BL5" s="1066"/>
      <c r="BM5" s="1066"/>
      <c r="BN5" s="1066"/>
      <c r="BO5" s="1066"/>
      <c r="BP5" s="1066"/>
      <c r="BQ5" s="1076" t="str">
        <f t="shared" ref="BQ5:BY5" si="4">F5</f>
        <v xml:space="preserve">a_CS - Creativos </v>
      </c>
      <c r="BR5" s="1076" t="str">
        <f t="shared" si="4"/>
        <v>b_CS - General (Comercio + Oficinas + Hospedaje)</v>
      </c>
      <c r="BS5" s="1076" t="str">
        <f t="shared" si="4"/>
        <v>c_CS - Grandes Superficies</v>
      </c>
      <c r="BT5" s="1076" t="str">
        <f t="shared" si="4"/>
        <v>d_CS - Torre Empresarial (Oficinas + Hospedaje)</v>
      </c>
      <c r="BU5" s="1076" t="str">
        <f t="shared" si="4"/>
        <v>e_CS - Innovation (H, CS, Gamers)</v>
      </c>
      <c r="BV5" s="1076" t="str">
        <f t="shared" si="4"/>
        <v>i_RES - No VIS</v>
      </c>
      <c r="BW5" s="1076" t="str">
        <f t="shared" si="4"/>
        <v>h_VIS_RU</v>
      </c>
      <c r="BX5" s="1076" t="str">
        <f t="shared" si="4"/>
        <v>i_VIP RU</v>
      </c>
      <c r="BY5" s="1076" t="str">
        <f t="shared" si="4"/>
        <v>Area estacionamientos</v>
      </c>
      <c r="BZ5" s="1076" t="s">
        <v>823</v>
      </c>
      <c r="CA5" s="1066"/>
      <c r="CB5" s="1066"/>
      <c r="CC5" s="1066"/>
      <c r="CD5" s="1066"/>
      <c r="CE5" s="1066"/>
      <c r="CF5" s="1066"/>
      <c r="CG5" s="1066"/>
    </row>
    <row r="6" spans="1:85" s="167" customFormat="1">
      <c r="A6" s="1056"/>
      <c r="B6" s="1056" t="s">
        <v>164</v>
      </c>
      <c r="C6" s="1056" t="s">
        <v>164</v>
      </c>
      <c r="D6" s="1056" t="s">
        <v>164</v>
      </c>
      <c r="E6" s="1056" t="s">
        <v>164</v>
      </c>
      <c r="F6" s="1056" t="s">
        <v>164</v>
      </c>
      <c r="G6" s="1056" t="s">
        <v>164</v>
      </c>
      <c r="H6" s="1056" t="s">
        <v>164</v>
      </c>
      <c r="I6" s="1056" t="s">
        <v>164</v>
      </c>
      <c r="J6" s="1056" t="s">
        <v>164</v>
      </c>
      <c r="K6" s="1056" t="s">
        <v>164</v>
      </c>
      <c r="L6" s="1056" t="s">
        <v>164</v>
      </c>
      <c r="M6" s="1056" t="s">
        <v>164</v>
      </c>
      <c r="N6" s="1056" t="s">
        <v>56</v>
      </c>
      <c r="O6" s="1056" t="s">
        <v>164</v>
      </c>
      <c r="P6" s="1066"/>
      <c r="Q6" s="1079" t="s">
        <v>176</v>
      </c>
      <c r="R6" s="1079" t="s">
        <v>176</v>
      </c>
      <c r="S6" s="1079" t="s">
        <v>176</v>
      </c>
      <c r="T6" s="1079" t="s">
        <v>176</v>
      </c>
      <c r="U6" s="1079" t="s">
        <v>176</v>
      </c>
      <c r="V6" s="1079" t="s">
        <v>176</v>
      </c>
      <c r="W6" s="1079" t="s">
        <v>176</v>
      </c>
      <c r="X6" s="1079" t="s">
        <v>176</v>
      </c>
      <c r="Y6" s="1079"/>
      <c r="Z6" s="1079" t="s">
        <v>176</v>
      </c>
      <c r="AA6" s="1079" t="s">
        <v>176</v>
      </c>
      <c r="AB6" s="1069"/>
      <c r="AC6" s="1069"/>
      <c r="AD6" s="1066" t="s">
        <v>164</v>
      </c>
      <c r="AE6" s="1066"/>
      <c r="AF6" s="1066"/>
      <c r="AG6" s="1066"/>
      <c r="AH6" s="1066"/>
      <c r="AI6" s="1066"/>
      <c r="AJ6" s="1066"/>
      <c r="AK6" s="1066"/>
      <c r="AL6" s="1066"/>
      <c r="AM6" s="1066"/>
      <c r="AN6" s="1066"/>
      <c r="AO6" s="1066"/>
      <c r="AP6" s="1066" t="s">
        <v>176</v>
      </c>
      <c r="AQ6" s="1066" t="s">
        <v>176</v>
      </c>
      <c r="AR6" s="1066" t="s">
        <v>176</v>
      </c>
      <c r="AS6" s="1066" t="s">
        <v>176</v>
      </c>
      <c r="AT6" s="1066" t="s">
        <v>176</v>
      </c>
      <c r="AU6" s="1066" t="s">
        <v>176</v>
      </c>
      <c r="AV6" s="1066" t="s">
        <v>176</v>
      </c>
      <c r="AW6" s="1066" t="s">
        <v>176</v>
      </c>
      <c r="AX6" s="1066" t="s">
        <v>176</v>
      </c>
      <c r="AY6" s="1066" t="s">
        <v>176</v>
      </c>
      <c r="AZ6" s="1066"/>
      <c r="BA6" s="1066" t="s">
        <v>164</v>
      </c>
      <c r="BB6" s="1066" t="s">
        <v>176</v>
      </c>
      <c r="BC6" s="1066" t="s">
        <v>176</v>
      </c>
      <c r="BD6" s="1066"/>
      <c r="BE6" s="1066"/>
      <c r="BF6" s="1066"/>
      <c r="BG6" s="1066"/>
      <c r="BH6" s="1066"/>
      <c r="BI6" s="1073"/>
      <c r="BJ6" s="1073"/>
      <c r="BK6" s="1073"/>
      <c r="BL6" s="1066"/>
      <c r="BM6" s="1066"/>
      <c r="BN6" s="1066"/>
      <c r="BO6" s="1066"/>
      <c r="BP6" s="1066"/>
      <c r="BQ6" s="1072">
        <v>0.08</v>
      </c>
      <c r="BR6" s="1072">
        <v>0.08</v>
      </c>
      <c r="BS6" s="1072">
        <v>0.08</v>
      </c>
      <c r="BT6" s="1072">
        <v>0.08</v>
      </c>
      <c r="BU6" s="1072">
        <v>0.08</v>
      </c>
      <c r="BV6" s="1072">
        <v>0.15</v>
      </c>
      <c r="BW6" s="1072">
        <v>0.05</v>
      </c>
      <c r="BX6" s="1072">
        <v>0.05</v>
      </c>
      <c r="BY6" s="1072">
        <v>0.05</v>
      </c>
      <c r="BZ6" s="1066"/>
      <c r="CA6" s="1066"/>
      <c r="CB6" s="1066"/>
      <c r="CC6" s="1066"/>
      <c r="CD6" s="1066"/>
      <c r="CE6" s="1066"/>
      <c r="CF6" s="1066"/>
      <c r="CG6" s="1066"/>
    </row>
    <row r="7" spans="1:85" s="168" customFormat="1" ht="20.45">
      <c r="A7" s="1057"/>
      <c r="B7" s="1077">
        <f>SUM(B8:B15)</f>
        <v>164776.711307171</v>
      </c>
      <c r="C7" s="1077">
        <f t="shared" ref="C7:O7" si="5">SUM(C8:C15)</f>
        <v>57671.848957509857</v>
      </c>
      <c r="D7" s="1077">
        <f t="shared" si="5"/>
        <v>43948.044250916901</v>
      </c>
      <c r="E7" s="1077">
        <f t="shared" si="5"/>
        <v>1185887.7745094635</v>
      </c>
      <c r="F7" s="1077">
        <f t="shared" si="5"/>
        <v>29356.213403211012</v>
      </c>
      <c r="G7" s="1077">
        <f t="shared" si="5"/>
        <v>95044.470611444325</v>
      </c>
      <c r="H7" s="1077">
        <f t="shared" si="5"/>
        <v>3625.1465066750798</v>
      </c>
      <c r="I7" s="1077">
        <f t="shared" si="5"/>
        <v>69276.283484898158</v>
      </c>
      <c r="J7" s="1077">
        <f t="shared" si="5"/>
        <v>90089.148434017989</v>
      </c>
      <c r="K7" s="1077">
        <f t="shared" si="5"/>
        <v>748703.12837204558</v>
      </c>
      <c r="L7" s="1077">
        <f t="shared" si="5"/>
        <v>85596.219255526463</v>
      </c>
      <c r="M7" s="1077">
        <f t="shared" si="5"/>
        <v>64197.164441644862</v>
      </c>
      <c r="N7" s="1077">
        <f t="shared" si="5"/>
        <v>3185</v>
      </c>
      <c r="O7" s="1077">
        <f t="shared" si="5"/>
        <v>1185887.7745094635</v>
      </c>
      <c r="P7" s="1058"/>
      <c r="Q7" s="1080">
        <f t="shared" ref="Q7" si="6">SUM(Q8:Q15)</f>
        <v>190815387120.87158</v>
      </c>
      <c r="R7" s="1080">
        <f t="shared" ref="R7" si="7">SUM(R8:R15)</f>
        <v>712833529585.8324</v>
      </c>
      <c r="S7" s="1080">
        <f t="shared" ref="S7" si="8">SUM(S8:S15)</f>
        <v>10875439520.02524</v>
      </c>
      <c r="T7" s="1080">
        <f t="shared" ref="T7" si="9">SUM(T8:T15)</f>
        <v>831315401818.77795</v>
      </c>
      <c r="U7" s="1080">
        <f t="shared" ref="U7" si="10">SUM(U8:U15)</f>
        <v>810802335906.16187</v>
      </c>
      <c r="V7" s="1080">
        <f t="shared" ref="V7" si="11">SUM(V8:V15)</f>
        <v>5615273462790.3428</v>
      </c>
      <c r="W7" s="1080">
        <f t="shared" ref="W7" si="12">SUM(W8:W15)</f>
        <v>546404134338.11615</v>
      </c>
      <c r="X7" s="1080">
        <f t="shared" ref="X7:Y7" si="13">SUM(X8:X15)</f>
        <v>240863863300.06757</v>
      </c>
      <c r="Y7" s="1080">
        <f t="shared" si="13"/>
        <v>8959183554380.1953</v>
      </c>
      <c r="Z7" s="1080">
        <f t="shared" ref="Z7" si="14">SUM(Z8:Z15)</f>
        <v>159250000000</v>
      </c>
      <c r="AA7" s="1081">
        <f t="shared" ref="AA7" si="15">SUM(AA8:AA15)</f>
        <v>9118433554380.1953</v>
      </c>
      <c r="AB7" s="1069">
        <f>SUM(AB8:AB15)</f>
        <v>1</v>
      </c>
      <c r="AC7" s="1059"/>
      <c r="AD7" s="1082">
        <f t="shared" ref="AD7:AE7" si="16">SUM(AD8:AD15)</f>
        <v>1477512.868659988</v>
      </c>
      <c r="AE7" s="1082">
        <f t="shared" si="16"/>
        <v>38163.077424174306</v>
      </c>
      <c r="AF7" s="1082">
        <f t="shared" ref="AF7" si="17">SUM(AF8:AF15)</f>
        <v>128310.03532544983</v>
      </c>
      <c r="AG7" s="1082">
        <f t="shared" ref="AG7" si="18">SUM(AG8:AG15)</f>
        <v>5437.7197600126192</v>
      </c>
      <c r="AH7" s="1082">
        <f t="shared" ref="AH7" si="19">SUM(AH8:AH15)</f>
        <v>93522.982704612499</v>
      </c>
      <c r="AI7" s="1082">
        <f t="shared" ref="AI7" si="20">SUM(AI8:AI15)</f>
        <v>121620.35038592429</v>
      </c>
      <c r="AJ7" s="1082">
        <f t="shared" ref="AJ7" si="21">SUM(AJ8:AJ15)</f>
        <v>939073.773904601</v>
      </c>
      <c r="AK7" s="1082">
        <f t="shared" ref="AK7" si="22">SUM(AK8:AK15)</f>
        <v>86505.673802979101</v>
      </c>
      <c r="AL7" s="1082">
        <f t="shared" ref="AL7" si="23">SUM(AL8:AL15)</f>
        <v>64879.255352234315</v>
      </c>
      <c r="AM7" s="1082">
        <f t="shared" ref="AM7:AN7" si="24">SUM(AM8:AM15)</f>
        <v>118588.77745094638</v>
      </c>
      <c r="AN7" s="1082">
        <f t="shared" si="24"/>
        <v>1596101.6461109342</v>
      </c>
      <c r="AO7" s="1058"/>
      <c r="AP7" s="1080">
        <f t="shared" ref="AP7" si="25">SUM(AP8:AP15)</f>
        <v>86821001139.996567</v>
      </c>
      <c r="AQ7" s="1080">
        <f t="shared" ref="AQ7" si="26">SUM(AQ8:AQ15)</f>
        <v>336813842729.30579</v>
      </c>
      <c r="AR7" s="1080">
        <f t="shared" ref="AR7" si="27">SUM(AR8:AR15)</f>
        <v>8156579640.0189285</v>
      </c>
      <c r="AS7" s="1080">
        <f t="shared" ref="AS7" si="28">SUM(AS8:AS15)</f>
        <v>392796527359.3725</v>
      </c>
      <c r="AT7" s="1080">
        <f t="shared" ref="AT7" si="29">SUM(AT8:AT15)</f>
        <v>383104103715.6615</v>
      </c>
      <c r="AU7" s="1080">
        <f t="shared" ref="AU7" si="30">SUM(AU8:AU15)</f>
        <v>3169373986928.0283</v>
      </c>
      <c r="AV7" s="1080">
        <f t="shared" ref="AV7" si="31">SUM(AV8:AV15)</f>
        <v>248494340046.10211</v>
      </c>
      <c r="AW7" s="1080">
        <f t="shared" ref="AW7" si="32">SUM(AW8:AW15)</f>
        <v>109540362142.77156</v>
      </c>
      <c r="AX7" s="1080">
        <f t="shared" ref="AX7" si="33">SUM(AX8:AX15)</f>
        <v>177883166176.41956</v>
      </c>
      <c r="AY7" s="1080">
        <f t="shared" ref="AY7" si="34">SUM(AY8:AY15)</f>
        <v>4912983909877.6777</v>
      </c>
      <c r="AZ7" s="1058"/>
      <c r="BA7" s="1077">
        <f>SUM(BA8:BA15)</f>
        <v>43948.044250916901</v>
      </c>
      <c r="BB7" s="1080">
        <f t="shared" ref="BB7:BC7" si="35">SUM(BB8:BB15)</f>
        <v>8789608850.1833801</v>
      </c>
      <c r="BC7" s="1080">
        <f t="shared" si="35"/>
        <v>1823686710876.0393</v>
      </c>
      <c r="BD7" s="1070">
        <f>SUM(BD8:BD15)</f>
        <v>12907597977.931437</v>
      </c>
      <c r="BE7" s="1070">
        <f>SUM(BE8:BE15)</f>
        <v>138176226440.98502</v>
      </c>
      <c r="BF7" s="1070">
        <f>SUM(BF8:BF15)</f>
        <v>151083824418.91647</v>
      </c>
      <c r="BG7" s="1070"/>
      <c r="BH7" s="1070">
        <f>SUM(BH8:BH15)</f>
        <v>1599999999.9999998</v>
      </c>
      <c r="BI7" s="1070" t="e">
        <f>SUM(BI8:BI15)</f>
        <v>#REF!</v>
      </c>
      <c r="BJ7" s="1063">
        <f>SUM(BJ8:BJ15)</f>
        <v>1</v>
      </c>
      <c r="BK7" s="1070">
        <f>'10_Costos_Renobo'!C4</f>
        <v>9000000000</v>
      </c>
      <c r="BL7" s="1070" t="e">
        <f>SUM(BL8:BL15)</f>
        <v>#REF!</v>
      </c>
      <c r="BM7" s="1070"/>
      <c r="BN7" s="1070">
        <f>SUM(BN8:BN15)</f>
        <v>151083824418.91647</v>
      </c>
      <c r="BO7" s="1070" t="e">
        <f>SUM(BO8:BO15)</f>
        <v>#REF!</v>
      </c>
      <c r="BP7" s="1058"/>
      <c r="BQ7" s="1070">
        <f>SUM(BQ8:BQ15)</f>
        <v>15265230969.669725</v>
      </c>
      <c r="BR7" s="1070">
        <f t="shared" ref="BR7:BZ7" si="36">SUM(BR8:BR15)</f>
        <v>57026682366.8666</v>
      </c>
      <c r="BS7" s="1070">
        <f t="shared" si="36"/>
        <v>870035161.60201919</v>
      </c>
      <c r="BT7" s="1070">
        <f t="shared" si="36"/>
        <v>66505232145.502235</v>
      </c>
      <c r="BU7" s="1070">
        <f t="shared" si="36"/>
        <v>64864186872.49295</v>
      </c>
      <c r="BV7" s="1070">
        <f t="shared" si="36"/>
        <v>842291019418.55139</v>
      </c>
      <c r="BW7" s="1070">
        <f t="shared" si="36"/>
        <v>27320206716.905807</v>
      </c>
      <c r="BX7" s="1070">
        <f t="shared" si="36"/>
        <v>12043193165.00338</v>
      </c>
      <c r="BY7" s="1070">
        <f t="shared" si="36"/>
        <v>7962500000</v>
      </c>
      <c r="BZ7" s="1070">
        <f t="shared" si="36"/>
        <v>1094148286816.594</v>
      </c>
      <c r="CA7" s="1083"/>
      <c r="CB7" s="1077" t="e">
        <f>SUM(CB8:CB15)</f>
        <v>#REF!</v>
      </c>
      <c r="CC7" s="1058"/>
      <c r="CD7" s="1084" t="e">
        <f>SUM(CD8:CD15)</f>
        <v>#REF!</v>
      </c>
      <c r="CE7" s="1058"/>
      <c r="CF7" s="1077">
        <f>SUM(CF8:CF15)</f>
        <v>582485674470.84949</v>
      </c>
      <c r="CG7" s="1084" t="e">
        <f>SUM(CG8:CG15)</f>
        <v>#REF!</v>
      </c>
    </row>
    <row r="8" spans="1:85">
      <c r="A8" s="1056">
        <v>1</v>
      </c>
      <c r="B8" s="1078">
        <f>'04c_Resumen_MO'!B6</f>
        <v>17268.248534736002</v>
      </c>
      <c r="C8" s="1078">
        <f>'04c_Resumen_MO'!G6</f>
        <v>4276.889186862838</v>
      </c>
      <c r="D8" s="1078">
        <f>'04c_Resumen_MO'!I6</f>
        <v>2921.1364674728761</v>
      </c>
      <c r="E8" s="1078">
        <f>SUM(F8:M8)</f>
        <v>78762.823479030529</v>
      </c>
      <c r="F8" s="1078">
        <f>'08_ATC_por_USOS'!I7</f>
        <v>0</v>
      </c>
      <c r="G8" s="1078">
        <f>'08_ATC_por_USOS'!M7</f>
        <v>9486.5399941323667</v>
      </c>
      <c r="H8" s="1078">
        <f>'08_ATC_por_USOS'!Q7</f>
        <v>0</v>
      </c>
      <c r="I8" s="1078">
        <f>'08_ATC_por_USOS'!U7</f>
        <v>69276.283484898158</v>
      </c>
      <c r="J8" s="1078">
        <f>'08_ATC_por_USOS'!Y7</f>
        <v>0</v>
      </c>
      <c r="K8" s="1078">
        <f>'08_ATC_por_USOS'!BO7</f>
        <v>0</v>
      </c>
      <c r="L8" s="1078">
        <f>'08_ATC_por_USOS'!BA7</f>
        <v>0</v>
      </c>
      <c r="M8" s="1078">
        <f>'08_ATC_por_USOS'!BE7</f>
        <v>0</v>
      </c>
      <c r="N8" s="1078">
        <f>'11_Estacionamientos'!S9</f>
        <v>158</v>
      </c>
      <c r="O8" s="1078">
        <f>SUM(F8:M8)</f>
        <v>78762.823479030529</v>
      </c>
      <c r="P8" s="1066"/>
      <c r="Q8" s="1074">
        <f t="shared" ref="Q8:X8" si="37">F8*Q$4</f>
        <v>0</v>
      </c>
      <c r="R8" s="1074">
        <f t="shared" si="37"/>
        <v>71149049955.992752</v>
      </c>
      <c r="S8" s="1074">
        <f t="shared" si="37"/>
        <v>0</v>
      </c>
      <c r="T8" s="1074">
        <f t="shared" si="37"/>
        <v>831315401818.77795</v>
      </c>
      <c r="U8" s="1074">
        <f t="shared" si="37"/>
        <v>0</v>
      </c>
      <c r="V8" s="1074">
        <f t="shared" si="37"/>
        <v>0</v>
      </c>
      <c r="W8" s="1074">
        <f t="shared" si="37"/>
        <v>0</v>
      </c>
      <c r="X8" s="1074">
        <f t="shared" si="37"/>
        <v>0</v>
      </c>
      <c r="Y8" s="1074">
        <f>SUM(Q8:X8)</f>
        <v>902464451774.77075</v>
      </c>
      <c r="Z8" s="1074">
        <f>N8*Z$4</f>
        <v>7900000000</v>
      </c>
      <c r="AA8" s="1070">
        <f>SUM(Y8:Z8)</f>
        <v>910364451774.77075</v>
      </c>
      <c r="AB8" s="1069">
        <f>AA8/AA$7</f>
        <v>9.983781165323749E-2</v>
      </c>
      <c r="AC8" s="1069"/>
      <c r="AD8" s="1085">
        <f>SUM(AE8:AL8)</f>
        <v>106329.81169669119</v>
      </c>
      <c r="AE8" s="1085">
        <f>'08_ATC_por_USOS'!G7</f>
        <v>0</v>
      </c>
      <c r="AF8" s="1085">
        <f>'08_ATC_por_USOS'!K7</f>
        <v>12806.828992078696</v>
      </c>
      <c r="AG8" s="1085">
        <f>'08_ATC_por_USOS'!O7</f>
        <v>0</v>
      </c>
      <c r="AH8" s="1085">
        <f>'08_ATC_por_USOS'!S7</f>
        <v>93522.982704612499</v>
      </c>
      <c r="AI8" s="1085">
        <f>'08_ATC_por_USOS'!W7</f>
        <v>0</v>
      </c>
      <c r="AJ8" s="1085">
        <f>'08_ATC_por_USOS'!AA7</f>
        <v>0</v>
      </c>
      <c r="AK8" s="1085">
        <v>0</v>
      </c>
      <c r="AL8" s="1085">
        <v>0</v>
      </c>
      <c r="AM8" s="1085">
        <f>'11_Estacionamientos'!K9</f>
        <v>7876.2823479030531</v>
      </c>
      <c r="AN8" s="1085">
        <f>SUM(AE8:AM8)</f>
        <v>114206.09404459424</v>
      </c>
      <c r="AO8" s="1066"/>
      <c r="AP8" s="1074">
        <f>AE8*AP$4</f>
        <v>0</v>
      </c>
      <c r="AQ8" s="1074">
        <f t="shared" ref="AQ8:AX8" si="38">AF8*AQ$4</f>
        <v>33617926104.206577</v>
      </c>
      <c r="AR8" s="1074">
        <f t="shared" si="38"/>
        <v>0</v>
      </c>
      <c r="AS8" s="1074">
        <f t="shared" si="38"/>
        <v>392796527359.3725</v>
      </c>
      <c r="AT8" s="1074">
        <f t="shared" si="38"/>
        <v>0</v>
      </c>
      <c r="AU8" s="1074">
        <f t="shared" si="38"/>
        <v>0</v>
      </c>
      <c r="AV8" s="1074">
        <f t="shared" si="38"/>
        <v>0</v>
      </c>
      <c r="AW8" s="1074">
        <f t="shared" si="38"/>
        <v>0</v>
      </c>
      <c r="AX8" s="1074">
        <f t="shared" si="38"/>
        <v>11814423521.85458</v>
      </c>
      <c r="AY8" s="1074">
        <f>SUM(AP8:AX8)</f>
        <v>438228876985.43365</v>
      </c>
      <c r="AZ8" s="1066"/>
      <c r="BA8" s="1078">
        <f>D8</f>
        <v>2921.1364674728761</v>
      </c>
      <c r="BB8" s="1075">
        <f>BA8*BB$4</f>
        <v>584227293.49457526</v>
      </c>
      <c r="BC8" s="1071">
        <f>AA8*BC$4</f>
        <v>182072890354.95416</v>
      </c>
      <c r="BD8" s="1086">
        <f>'06_CARGAS'!Y8</f>
        <v>0</v>
      </c>
      <c r="BE8" s="1074">
        <f>'06_CARGAS'!W8</f>
        <v>20317955283.753803</v>
      </c>
      <c r="BF8" s="1074">
        <f>SUM(BD8:BE8)</f>
        <v>20317955283.753803</v>
      </c>
      <c r="BG8" s="1074"/>
      <c r="BH8" s="1086">
        <f>'06_CARGAS'!Z8</f>
        <v>106348722.17002217</v>
      </c>
      <c r="BI8" s="1073" t="e">
        <f>'06_CARGAS'!#REF!</f>
        <v>#REF!</v>
      </c>
      <c r="BJ8" s="1087">
        <f t="shared" ref="BJ8:BJ15" si="39">AB8</f>
        <v>9.983781165323749E-2</v>
      </c>
      <c r="BK8" s="1073">
        <f>BJ8*$BK$7</f>
        <v>898540304.8791374</v>
      </c>
      <c r="BL8" s="1071" t="e">
        <f t="shared" ref="BL8:BL15" si="40">SUM(AY8,BB8,BC8,BE8,BD8,BH8,BI8,BK8)</f>
        <v>#REF!</v>
      </c>
      <c r="BM8" s="1071"/>
      <c r="BN8" s="1071">
        <f t="shared" ref="BN8:BN15" si="41">SUM(BD8:BE8)</f>
        <v>20317955283.753803</v>
      </c>
      <c r="BO8" s="1071" t="e">
        <f t="shared" ref="BO8:BO15" si="42">SUM(BH8:BI8,BK8)</f>
        <v>#REF!</v>
      </c>
      <c r="BP8" s="1071"/>
      <c r="BQ8" s="1071">
        <f t="shared" ref="BQ8:BX15" si="43">Q8*BQ$6</f>
        <v>0</v>
      </c>
      <c r="BR8" s="1071">
        <f t="shared" si="43"/>
        <v>5691923996.4794207</v>
      </c>
      <c r="BS8" s="1071">
        <f t="shared" si="43"/>
        <v>0</v>
      </c>
      <c r="BT8" s="1071">
        <f t="shared" si="43"/>
        <v>66505232145.502235</v>
      </c>
      <c r="BU8" s="1071">
        <f t="shared" si="43"/>
        <v>0</v>
      </c>
      <c r="BV8" s="1071">
        <f t="shared" si="43"/>
        <v>0</v>
      </c>
      <c r="BW8" s="1071">
        <f t="shared" si="43"/>
        <v>0</v>
      </c>
      <c r="BX8" s="1071">
        <f t="shared" si="43"/>
        <v>0</v>
      </c>
      <c r="BY8" s="1071">
        <f t="shared" ref="BY8:BY15" si="44">Z8*BY$6</f>
        <v>395000000</v>
      </c>
      <c r="BZ8" s="1071">
        <f>SUM(BQ8:BY8)</f>
        <v>72592156141.981659</v>
      </c>
      <c r="CA8" s="1083"/>
      <c r="CB8" s="1078" t="e">
        <f>BL8+BZ8</f>
        <v>#REF!</v>
      </c>
      <c r="CC8" s="1066"/>
      <c r="CD8" s="1086" t="e">
        <f t="shared" ref="CD8:CD15" si="45">AA8-CB8</f>
        <v>#REF!</v>
      </c>
      <c r="CE8" s="1075" t="e">
        <f t="shared" ref="CE8:CE15" si="46">CD8/B8</f>
        <v>#REF!</v>
      </c>
      <c r="CF8" s="1078">
        <f t="shared" ref="CF8:CF15" si="47">B8*CF$4</f>
        <v>61043258570.291763</v>
      </c>
      <c r="CG8" s="1086" t="e">
        <f>CD8-CF8</f>
        <v>#REF!</v>
      </c>
    </row>
    <row r="9" spans="1:85">
      <c r="A9" s="1056">
        <v>2</v>
      </c>
      <c r="B9" s="1078">
        <f>'04c_Resumen_MO'!B7</f>
        <v>15602.531511536001</v>
      </c>
      <c r="C9" s="1078">
        <f>'04c_Resumen_MO'!G7</f>
        <v>6900.3438999605678</v>
      </c>
      <c r="D9" s="1078">
        <f>'04c_Resumen_MO'!I7</f>
        <v>5092.7723828413127</v>
      </c>
      <c r="E9" s="1078">
        <f t="shared" ref="E9:E15" si="48">SUM(F9:M9)</f>
        <v>149403.09583164763</v>
      </c>
      <c r="F9" s="1078">
        <f>'08_ATC_por_USOS'!I8</f>
        <v>3257.5685120599983</v>
      </c>
      <c r="G9" s="1078">
        <f>'08_ATC_por_USOS'!M8</f>
        <v>12992.858240882862</v>
      </c>
      <c r="H9" s="1078">
        <f>'08_ATC_por_USOS'!Q8</f>
        <v>0</v>
      </c>
      <c r="I9" s="1078">
        <f>'08_ATC_por_USOS'!U8</f>
        <v>0</v>
      </c>
      <c r="J9" s="1078">
        <f>'08_ATC_por_USOS'!Y8</f>
        <v>0</v>
      </c>
      <c r="K9" s="1078">
        <f>'08_ATC_por_USOS'!BO8</f>
        <v>111172.8890314543</v>
      </c>
      <c r="L9" s="1078">
        <f>'08_ATC_por_USOS'!BA8</f>
        <v>12559.874312714555</v>
      </c>
      <c r="M9" s="1078">
        <f>'08_ATC_por_USOS'!BE8</f>
        <v>9419.9057345359179</v>
      </c>
      <c r="N9" s="1078">
        <f>'11_Estacionamientos'!S10</f>
        <v>418</v>
      </c>
      <c r="O9" s="1078">
        <f t="shared" ref="O9:O15" si="49">SUM(F9:M9)</f>
        <v>149403.09583164763</v>
      </c>
      <c r="P9" s="1066"/>
      <c r="Q9" s="1074">
        <f t="shared" ref="Q9:Q15" si="50">F9*Q$4</f>
        <v>21174195328.389988</v>
      </c>
      <c r="R9" s="1074">
        <f t="shared" ref="R9:R15" si="51">G9*R$4</f>
        <v>97446436806.621475</v>
      </c>
      <c r="S9" s="1074">
        <f t="shared" ref="S9:S15" si="52">H9*S$4</f>
        <v>0</v>
      </c>
      <c r="T9" s="1074">
        <f t="shared" ref="T9:T15" si="53">I9*T$4</f>
        <v>0</v>
      </c>
      <c r="U9" s="1074">
        <f t="shared" ref="U9:U15" si="54">J9*U$4</f>
        <v>0</v>
      </c>
      <c r="V9" s="1074">
        <f t="shared" ref="V9:V15" si="55">K9*V$4</f>
        <v>833796667735.90723</v>
      </c>
      <c r="W9" s="1074">
        <f t="shared" ref="W9:W15" si="56">L9*W$4</f>
        <v>80176055799.23143</v>
      </c>
      <c r="X9" s="1074">
        <f t="shared" ref="X9:X15" si="57">M9*X$4</f>
        <v>35342914393.1306</v>
      </c>
      <c r="Y9" s="1074">
        <f t="shared" ref="Y9:Y15" si="58">SUM(Q9:X9)</f>
        <v>1067936270063.2808</v>
      </c>
      <c r="Z9" s="1074">
        <f t="shared" ref="Z9:Z15" si="59">N9*Z$4</f>
        <v>20900000000</v>
      </c>
      <c r="AA9" s="1070">
        <f t="shared" ref="AA9:AA15" si="60">SUM(Y9:Z9)</f>
        <v>1088836270063.2808</v>
      </c>
      <c r="AB9" s="1069">
        <f t="shared" ref="AB9:AB15" si="61">AA9/AA$7</f>
        <v>0.11941045175903482</v>
      </c>
      <c r="AC9" s="1069"/>
      <c r="AD9" s="1085">
        <f t="shared" ref="AD9:AD15" si="62">SUM(AE9:AL9)</f>
        <v>183154.52696894616</v>
      </c>
      <c r="AE9" s="1085">
        <f>'08_ATC_por_USOS'!G8</f>
        <v>4234.8390656779975</v>
      </c>
      <c r="AF9" s="1085">
        <f>'08_ATC_por_USOS'!K8</f>
        <v>17540.358625191864</v>
      </c>
      <c r="AG9" s="1085">
        <f>'08_ATC_por_USOS'!O8</f>
        <v>0</v>
      </c>
      <c r="AH9" s="1085">
        <f>'08_ATC_por_USOS'!S8</f>
        <v>0</v>
      </c>
      <c r="AI9" s="1085">
        <f>'08_ATC_por_USOS'!W8</f>
        <v>0</v>
      </c>
      <c r="AJ9" s="1085">
        <f>'08_ATC_por_USOS'!AA8</f>
        <v>139166.01542419466</v>
      </c>
      <c r="AK9" s="1085">
        <f>'08_ATC_por_USOS'!AJ8</f>
        <v>12693.322202218087</v>
      </c>
      <c r="AL9" s="1085">
        <f>'08_ATC_por_USOS'!AN8</f>
        <v>9519.9916516635658</v>
      </c>
      <c r="AM9" s="1085">
        <f>'11_Estacionamientos'!K10</f>
        <v>14940.309583164764</v>
      </c>
      <c r="AN9" s="1085">
        <f t="shared" ref="AN9:AN15" si="63">SUM(AE9:AM9)</f>
        <v>198094.83655211091</v>
      </c>
      <c r="AO9" s="1066"/>
      <c r="AP9" s="1074">
        <f t="shared" ref="AP9:AP15" si="64">AE9*AP$4</f>
        <v>9634258874.4174442</v>
      </c>
      <c r="AQ9" s="1074">
        <f t="shared" ref="AQ9:AQ15" si="65">AF9*AQ$4</f>
        <v>46043441391.128647</v>
      </c>
      <c r="AR9" s="1074">
        <f t="shared" ref="AR9:AR15" si="66">AG9*AR$4</f>
        <v>0</v>
      </c>
      <c r="AS9" s="1074">
        <f t="shared" ref="AS9:AS15" si="67">AH9*AS$4</f>
        <v>0</v>
      </c>
      <c r="AT9" s="1074">
        <f t="shared" ref="AT9:AT15" si="68">AI9*AT$4</f>
        <v>0</v>
      </c>
      <c r="AU9" s="1074">
        <f t="shared" ref="AU9:AU15" si="69">AJ9*AU$4</f>
        <v>469685302056.65698</v>
      </c>
      <c r="AV9" s="1074">
        <f t="shared" ref="AV9:AV15" si="70">AK9*AV$4</f>
        <v>36462564649.99749</v>
      </c>
      <c r="AW9" s="1074">
        <f t="shared" ref="AW9:AW15" si="71">AL9*AW$4</f>
        <v>16073293804.896854</v>
      </c>
      <c r="AX9" s="1074">
        <f t="shared" ref="AX9:AX15" si="72">AM9*AX$4</f>
        <v>22410464374.747147</v>
      </c>
      <c r="AY9" s="1074">
        <f t="shared" ref="AY9:AY15" si="73">SUM(AP9:AX9)</f>
        <v>600309325151.8446</v>
      </c>
      <c r="AZ9" s="1066"/>
      <c r="BA9" s="1078">
        <f t="shared" ref="BA9:BA15" si="74">D9</f>
        <v>5092.7723828413127</v>
      </c>
      <c r="BB9" s="1075">
        <f t="shared" ref="BB9:BB15" si="75">BA9*BB$4</f>
        <v>1018554476.5682626</v>
      </c>
      <c r="BC9" s="1071">
        <f t="shared" ref="BC9:BC15" si="76">AA9*BC$4</f>
        <v>217767254012.65616</v>
      </c>
      <c r="BD9" s="1086">
        <f>'06_CARGAS'!Y9</f>
        <v>463444934.58942008</v>
      </c>
      <c r="BE9" s="1074">
        <f>'06_CARGAS'!W9</f>
        <v>7475265822.7276478</v>
      </c>
      <c r="BF9" s="1074">
        <f t="shared" ref="BF9:BF15" si="77">SUM(BD9:BE9)</f>
        <v>7938710757.3170681</v>
      </c>
      <c r="BG9" s="1074"/>
      <c r="BH9" s="1086">
        <f>'06_CARGAS'!Z9</f>
        <v>185410658.23142055</v>
      </c>
      <c r="BI9" s="1073">
        <v>0</v>
      </c>
      <c r="BJ9" s="1087">
        <f t="shared" si="39"/>
        <v>0.11941045175903482</v>
      </c>
      <c r="BK9" s="1073">
        <f t="shared" ref="BK9:BK15" si="78">BJ9*$BK$7</f>
        <v>1074694065.8313134</v>
      </c>
      <c r="BL9" s="1071">
        <f t="shared" si="40"/>
        <v>828293949122.44885</v>
      </c>
      <c r="BM9" s="1071"/>
      <c r="BN9" s="1071">
        <f t="shared" si="41"/>
        <v>7938710757.3170681</v>
      </c>
      <c r="BO9" s="1071">
        <f t="shared" si="42"/>
        <v>1260104724.0627339</v>
      </c>
      <c r="BP9" s="1071"/>
      <c r="BQ9" s="1071">
        <f t="shared" si="43"/>
        <v>1693935626.271199</v>
      </c>
      <c r="BR9" s="1071">
        <f t="shared" si="43"/>
        <v>7795714944.5297184</v>
      </c>
      <c r="BS9" s="1071">
        <f t="shared" si="43"/>
        <v>0</v>
      </c>
      <c r="BT9" s="1071">
        <f t="shared" si="43"/>
        <v>0</v>
      </c>
      <c r="BU9" s="1071">
        <f t="shared" si="43"/>
        <v>0</v>
      </c>
      <c r="BV9" s="1071">
        <f t="shared" si="43"/>
        <v>125069500160.38608</v>
      </c>
      <c r="BW9" s="1071">
        <f t="shared" si="43"/>
        <v>4008802789.9615717</v>
      </c>
      <c r="BX9" s="1071">
        <f t="shared" si="43"/>
        <v>1767145719.6565301</v>
      </c>
      <c r="BY9" s="1071">
        <f t="shared" si="44"/>
        <v>1045000000</v>
      </c>
      <c r="BZ9" s="1071">
        <f t="shared" ref="BZ9:BZ15" si="79">SUM(BQ9:BY9)</f>
        <v>141380099240.80508</v>
      </c>
      <c r="CA9" s="1083"/>
      <c r="CB9" s="1078">
        <f t="shared" ref="CB9:CB15" si="80">BL9+BZ9</f>
        <v>969674048363.25391</v>
      </c>
      <c r="CC9" s="1066"/>
      <c r="CD9" s="1086">
        <f t="shared" si="45"/>
        <v>119162221700.02686</v>
      </c>
      <c r="CE9" s="1075">
        <f t="shared" si="46"/>
        <v>7637364.5912474021</v>
      </c>
      <c r="CF9" s="1078">
        <f t="shared" si="47"/>
        <v>55154948893.279762</v>
      </c>
      <c r="CG9" s="1086">
        <f t="shared" ref="CG9:CG15" si="81">CD9-CF9</f>
        <v>64007272806.747093</v>
      </c>
    </row>
    <row r="10" spans="1:85">
      <c r="A10" s="1056">
        <v>3</v>
      </c>
      <c r="B10" s="1078">
        <f>'04c_Resumen_MO'!B8</f>
        <v>19436.47454042</v>
      </c>
      <c r="C10" s="1078">
        <f>'04c_Resumen_MO'!G8</f>
        <v>7359.10816158546</v>
      </c>
      <c r="D10" s="1078">
        <f>'04c_Resumen_MO'!I8</f>
        <v>5431.80275334625</v>
      </c>
      <c r="E10" s="1078">
        <f t="shared" si="48"/>
        <v>157162.77496128494</v>
      </c>
      <c r="F10" s="1078">
        <f>'08_ATC_por_USOS'!I9</f>
        <v>2972.6975798711569</v>
      </c>
      <c r="G10" s="1078">
        <f>'08_ATC_por_USOS'!M9</f>
        <v>14268.307533825875</v>
      </c>
      <c r="H10" s="1078">
        <f>'08_ATC_por_USOS'!Q9</f>
        <v>0</v>
      </c>
      <c r="I10" s="1078">
        <f>'08_ATC_por_USOS'!U9</f>
        <v>0</v>
      </c>
      <c r="J10" s="1078">
        <f>'08_ATC_por_USOS'!Y9</f>
        <v>0</v>
      </c>
      <c r="K10" s="1078">
        <f>'08_ATC_por_USOS'!BO9</f>
        <v>116797.26299425424</v>
      </c>
      <c r="L10" s="1078">
        <f>'08_ATC_por_USOS'!BA9</f>
        <v>13214.003916190679</v>
      </c>
      <c r="M10" s="1078">
        <f>'08_ATC_por_USOS'!BE9</f>
        <v>9910.5029371430101</v>
      </c>
      <c r="N10" s="1078">
        <f>'11_Estacionamientos'!S11</f>
        <v>440</v>
      </c>
      <c r="O10" s="1078">
        <f t="shared" si="49"/>
        <v>157162.77496128494</v>
      </c>
      <c r="P10" s="1066"/>
      <c r="Q10" s="1074">
        <f t="shared" si="50"/>
        <v>19322534269.162521</v>
      </c>
      <c r="R10" s="1074">
        <f t="shared" si="51"/>
        <v>107012306503.69406</v>
      </c>
      <c r="S10" s="1074">
        <f t="shared" si="52"/>
        <v>0</v>
      </c>
      <c r="T10" s="1074">
        <f t="shared" si="53"/>
        <v>0</v>
      </c>
      <c r="U10" s="1074">
        <f t="shared" si="54"/>
        <v>0</v>
      </c>
      <c r="V10" s="1074">
        <f t="shared" si="55"/>
        <v>875979472456.90686</v>
      </c>
      <c r="W10" s="1074">
        <f t="shared" si="56"/>
        <v>84351697233.408798</v>
      </c>
      <c r="X10" s="1074">
        <f t="shared" si="57"/>
        <v>37183605311.05368</v>
      </c>
      <c r="Y10" s="1074">
        <f t="shared" si="58"/>
        <v>1123849615774.2258</v>
      </c>
      <c r="Z10" s="1074">
        <f t="shared" si="59"/>
        <v>22000000000</v>
      </c>
      <c r="AA10" s="1070">
        <f t="shared" si="60"/>
        <v>1145849615774.2258</v>
      </c>
      <c r="AB10" s="1069">
        <f t="shared" si="61"/>
        <v>0.12566298903651027</v>
      </c>
      <c r="AC10" s="1069"/>
      <c r="AD10" s="1085">
        <f t="shared" si="62"/>
        <v>192737.74285426005</v>
      </c>
      <c r="AE10" s="1085">
        <f>'08_ATC_por_USOS'!G9</f>
        <v>3864.506853832504</v>
      </c>
      <c r="AF10" s="1085">
        <f>'08_ATC_por_USOS'!K9</f>
        <v>19262.215170664931</v>
      </c>
      <c r="AG10" s="1085">
        <f>'08_ATC_por_USOS'!O9</f>
        <v>0</v>
      </c>
      <c r="AH10" s="1085">
        <f>'08_ATC_por_USOS'!S9</f>
        <v>0</v>
      </c>
      <c r="AI10" s="1085">
        <f>'08_ATC_por_USOS'!W9</f>
        <v>0</v>
      </c>
      <c r="AJ10" s="1085">
        <f>'08_ATC_por_USOS'!AA9</f>
        <v>146240.81751812415</v>
      </c>
      <c r="AK10" s="1085">
        <f>'08_ATC_por_USOS'!AJ9</f>
        <v>13354.401892364849</v>
      </c>
      <c r="AL10" s="1085">
        <f>'08_ATC_por_USOS'!AN9</f>
        <v>10015.801419273637</v>
      </c>
      <c r="AM10" s="1085">
        <f>'11_Estacionamientos'!K11</f>
        <v>15716.277496128496</v>
      </c>
      <c r="AN10" s="1085">
        <f t="shared" si="63"/>
        <v>208454.02035038854</v>
      </c>
      <c r="AO10" s="1066"/>
      <c r="AP10" s="1074">
        <f t="shared" si="64"/>
        <v>8791753092.4689465</v>
      </c>
      <c r="AQ10" s="1074">
        <f t="shared" si="65"/>
        <v>50563314822.995445</v>
      </c>
      <c r="AR10" s="1074">
        <f t="shared" si="66"/>
        <v>0</v>
      </c>
      <c r="AS10" s="1074">
        <f t="shared" si="67"/>
        <v>0</v>
      </c>
      <c r="AT10" s="1074">
        <f t="shared" si="68"/>
        <v>0</v>
      </c>
      <c r="AU10" s="1074">
        <f t="shared" si="69"/>
        <v>493562759123.66901</v>
      </c>
      <c r="AV10" s="1074">
        <f t="shared" si="70"/>
        <v>38361567965.029106</v>
      </c>
      <c r="AW10" s="1074">
        <f t="shared" si="71"/>
        <v>16910405470.298548</v>
      </c>
      <c r="AX10" s="1074">
        <f t="shared" si="72"/>
        <v>23574416244.192745</v>
      </c>
      <c r="AY10" s="1074">
        <f t="shared" si="73"/>
        <v>631764216718.65381</v>
      </c>
      <c r="AZ10" s="1066"/>
      <c r="BA10" s="1078">
        <f t="shared" si="74"/>
        <v>5431.80275334625</v>
      </c>
      <c r="BB10" s="1075">
        <f t="shared" si="75"/>
        <v>1086360550.66925</v>
      </c>
      <c r="BC10" s="1071">
        <f t="shared" si="76"/>
        <v>229169923154.84518</v>
      </c>
      <c r="BD10" s="1086">
        <f>'06_CARGAS'!Y10</f>
        <v>828278919.13704014</v>
      </c>
      <c r="BE10" s="1074">
        <f>'06_CARGAS'!W10</f>
        <v>14389859310.805607</v>
      </c>
      <c r="BF10" s="1074">
        <f t="shared" si="77"/>
        <v>15218138229.942646</v>
      </c>
      <c r="BG10" s="1074"/>
      <c r="BH10" s="1086">
        <f>'06_CARGAS'!Z10</f>
        <v>197753610.05223072</v>
      </c>
      <c r="BI10" s="1073">
        <v>0</v>
      </c>
      <c r="BJ10" s="1087">
        <f t="shared" si="39"/>
        <v>0.12566298903651027</v>
      </c>
      <c r="BK10" s="1073">
        <f t="shared" si="78"/>
        <v>1130966901.3285925</v>
      </c>
      <c r="BL10" s="1071">
        <f t="shared" si="40"/>
        <v>878567359165.49182</v>
      </c>
      <c r="BM10" s="1071"/>
      <c r="BN10" s="1071">
        <f t="shared" si="41"/>
        <v>15218138229.942646</v>
      </c>
      <c r="BO10" s="1071">
        <f t="shared" si="42"/>
        <v>1328720511.3808231</v>
      </c>
      <c r="BP10" s="1071"/>
      <c r="BQ10" s="1071">
        <f t="shared" si="43"/>
        <v>1545802741.5330017</v>
      </c>
      <c r="BR10" s="1071">
        <f t="shared" si="43"/>
        <v>8560984520.2955256</v>
      </c>
      <c r="BS10" s="1071">
        <f t="shared" si="43"/>
        <v>0</v>
      </c>
      <c r="BT10" s="1071">
        <f t="shared" si="43"/>
        <v>0</v>
      </c>
      <c r="BU10" s="1071">
        <f t="shared" si="43"/>
        <v>0</v>
      </c>
      <c r="BV10" s="1071">
        <f t="shared" si="43"/>
        <v>131396920868.53603</v>
      </c>
      <c r="BW10" s="1071">
        <f t="shared" si="43"/>
        <v>4217584861.6704402</v>
      </c>
      <c r="BX10" s="1071">
        <f t="shared" si="43"/>
        <v>1859180265.5526841</v>
      </c>
      <c r="BY10" s="1071">
        <f t="shared" si="44"/>
        <v>1100000000</v>
      </c>
      <c r="BZ10" s="1071">
        <f t="shared" si="79"/>
        <v>148680473257.58768</v>
      </c>
      <c r="CA10" s="1083"/>
      <c r="CB10" s="1078">
        <f t="shared" si="80"/>
        <v>1027247832423.0795</v>
      </c>
      <c r="CC10" s="1066"/>
      <c r="CD10" s="1086">
        <f t="shared" si="45"/>
        <v>118601783351.14636</v>
      </c>
      <c r="CE10" s="1075">
        <f t="shared" si="46"/>
        <v>6102021.3879066724</v>
      </c>
      <c r="CF10" s="1078">
        <f t="shared" si="47"/>
        <v>68707937500.384705</v>
      </c>
      <c r="CG10" s="1086">
        <f t="shared" si="81"/>
        <v>49893845850.761658</v>
      </c>
    </row>
    <row r="11" spans="1:85">
      <c r="A11" s="1056">
        <v>4</v>
      </c>
      <c r="B11" s="1078">
        <f>'04c_Resumen_MO'!B9</f>
        <v>25621.213912839001</v>
      </c>
      <c r="C11" s="1078">
        <f>'04c_Resumen_MO'!G9</f>
        <v>10438.540650765779</v>
      </c>
      <c r="D11" s="1078">
        <f>'04c_Resumen_MO'!I9</f>
        <v>8133.4699118704657</v>
      </c>
      <c r="E11" s="1078">
        <f t="shared" si="48"/>
        <v>224930.2752019013</v>
      </c>
      <c r="F11" s="1078">
        <f>'08_ATC_por_USOS'!I10</f>
        <v>4336.8338839709186</v>
      </c>
      <c r="G11" s="1078">
        <f>'08_ATC_por_USOS'!M10</f>
        <v>17149.886182631148</v>
      </c>
      <c r="H11" s="1078">
        <f>'08_ATC_por_USOS'!Q10</f>
        <v>3625.1465066750798</v>
      </c>
      <c r="I11" s="1078">
        <f>'08_ATC_por_USOS'!U10</f>
        <v>0</v>
      </c>
      <c r="J11" s="1078">
        <f>'08_ATC_por_USOS'!Y10</f>
        <v>0</v>
      </c>
      <c r="K11" s="1078">
        <f>'08_ATC_por_USOS'!BO10</f>
        <v>166713.40841769753</v>
      </c>
      <c r="L11" s="1078">
        <f>'08_ATC_por_USOS'!BA10</f>
        <v>18917.142977672353</v>
      </c>
      <c r="M11" s="1078">
        <f>'08_ATC_por_USOS'!BE10</f>
        <v>14187.857233254264</v>
      </c>
      <c r="N11" s="1078">
        <f>'11_Estacionamientos'!S12</f>
        <v>630</v>
      </c>
      <c r="O11" s="1078">
        <f t="shared" si="49"/>
        <v>224930.2752019013</v>
      </c>
      <c r="P11" s="1066"/>
      <c r="Q11" s="1074">
        <f t="shared" si="50"/>
        <v>28189420245.81097</v>
      </c>
      <c r="R11" s="1074">
        <f t="shared" si="51"/>
        <v>128624146369.73361</v>
      </c>
      <c r="S11" s="1074">
        <f t="shared" si="52"/>
        <v>10875439520.02524</v>
      </c>
      <c r="T11" s="1074">
        <f t="shared" si="53"/>
        <v>0</v>
      </c>
      <c r="U11" s="1074">
        <f t="shared" si="54"/>
        <v>0</v>
      </c>
      <c r="V11" s="1074">
        <f t="shared" si="55"/>
        <v>1250350563132.7314</v>
      </c>
      <c r="W11" s="1074">
        <f t="shared" si="56"/>
        <v>120757729988.15097</v>
      </c>
      <c r="X11" s="1074">
        <f t="shared" si="57"/>
        <v>53231978933.552269</v>
      </c>
      <c r="Y11" s="1074">
        <f t="shared" si="58"/>
        <v>1592029278190.0044</v>
      </c>
      <c r="Z11" s="1074">
        <f t="shared" si="59"/>
        <v>31500000000</v>
      </c>
      <c r="AA11" s="1070">
        <f t="shared" si="60"/>
        <v>1623529278190.0044</v>
      </c>
      <c r="AB11" s="1069">
        <f t="shared" si="61"/>
        <v>0.17804914281687279</v>
      </c>
      <c r="AC11" s="1069"/>
      <c r="AD11" s="1085">
        <f t="shared" si="62"/>
        <v>276527.15474348463</v>
      </c>
      <c r="AE11" s="1085">
        <f>'08_ATC_por_USOS'!G10</f>
        <v>5637.8840491621941</v>
      </c>
      <c r="AF11" s="1085">
        <f>'08_ATC_por_USOS'!K10</f>
        <v>23152.346346552051</v>
      </c>
      <c r="AG11" s="1085">
        <f>'08_ATC_por_USOS'!O10</f>
        <v>5437.7197600126192</v>
      </c>
      <c r="AH11" s="1085">
        <f>'08_ATC_por_USOS'!S10</f>
        <v>0</v>
      </c>
      <c r="AI11" s="1085">
        <f>'08_ATC_por_USOS'!W10</f>
        <v>0</v>
      </c>
      <c r="AJ11" s="1085">
        <f>'08_ATC_por_USOS'!AA10</f>
        <v>208842.46579249753</v>
      </c>
      <c r="AK11" s="1085">
        <f>'08_ATC_por_USOS'!AJ10</f>
        <v>19118.136454434411</v>
      </c>
      <c r="AL11" s="1085">
        <f>'08_ATC_por_USOS'!AN10</f>
        <v>14338.602340825806</v>
      </c>
      <c r="AM11" s="1085">
        <f>'11_Estacionamientos'!K12</f>
        <v>22493.027520190131</v>
      </c>
      <c r="AN11" s="1085">
        <f t="shared" si="63"/>
        <v>299020.18226367474</v>
      </c>
      <c r="AO11" s="1066"/>
      <c r="AP11" s="1074">
        <f t="shared" si="64"/>
        <v>12826186211.843992</v>
      </c>
      <c r="AQ11" s="1074">
        <f t="shared" si="65"/>
        <v>60774909159.699135</v>
      </c>
      <c r="AR11" s="1074">
        <f t="shared" si="66"/>
        <v>8156579640.0189285</v>
      </c>
      <c r="AS11" s="1074">
        <f t="shared" si="67"/>
        <v>0</v>
      </c>
      <c r="AT11" s="1074">
        <f t="shared" si="68"/>
        <v>0</v>
      </c>
      <c r="AU11" s="1074">
        <f t="shared" si="69"/>
        <v>704843322049.6792</v>
      </c>
      <c r="AV11" s="1074">
        <f t="shared" si="70"/>
        <v>54918348037.795403</v>
      </c>
      <c r="AW11" s="1074">
        <f t="shared" si="71"/>
        <v>24208904441.150623</v>
      </c>
      <c r="AX11" s="1074">
        <f t="shared" si="72"/>
        <v>33739541280.285198</v>
      </c>
      <c r="AY11" s="1074">
        <f t="shared" si="73"/>
        <v>899467790820.47241</v>
      </c>
      <c r="AZ11" s="1066"/>
      <c r="BA11" s="1078">
        <f t="shared" si="74"/>
        <v>8133.4699118704657</v>
      </c>
      <c r="BB11" s="1075">
        <f t="shared" si="75"/>
        <v>1626693982.3740931</v>
      </c>
      <c r="BC11" s="1071">
        <f t="shared" si="76"/>
        <v>324705855638.00092</v>
      </c>
      <c r="BD11" s="1086">
        <f>'06_CARGAS'!Y11</f>
        <v>2596837373.1934199</v>
      </c>
      <c r="BE11" s="1074">
        <f>'06_CARGAS'!W11</f>
        <v>26087580305.507439</v>
      </c>
      <c r="BF11" s="1074">
        <f t="shared" si="77"/>
        <v>28684417678.700859</v>
      </c>
      <c r="BG11" s="1074"/>
      <c r="BH11" s="1086">
        <f>'06_CARGAS'!Z11</f>
        <v>296112195.22518885</v>
      </c>
      <c r="BI11" s="1073">
        <v>0</v>
      </c>
      <c r="BJ11" s="1087">
        <f t="shared" si="39"/>
        <v>0.17804914281687279</v>
      </c>
      <c r="BK11" s="1073">
        <f t="shared" si="78"/>
        <v>1602442285.351855</v>
      </c>
      <c r="BL11" s="1071">
        <f t="shared" si="40"/>
        <v>1256383312600.125</v>
      </c>
      <c r="BM11" s="1071"/>
      <c r="BN11" s="1071">
        <f t="shared" si="41"/>
        <v>28684417678.700859</v>
      </c>
      <c r="BO11" s="1071">
        <f t="shared" si="42"/>
        <v>1898554480.577044</v>
      </c>
      <c r="BP11" s="1071"/>
      <c r="BQ11" s="1071">
        <f t="shared" si="43"/>
        <v>2255153619.6648779</v>
      </c>
      <c r="BR11" s="1071">
        <f t="shared" si="43"/>
        <v>10289931709.57869</v>
      </c>
      <c r="BS11" s="1071">
        <f t="shared" si="43"/>
        <v>870035161.60201919</v>
      </c>
      <c r="BT11" s="1071">
        <f t="shared" si="43"/>
        <v>0</v>
      </c>
      <c r="BU11" s="1071">
        <f t="shared" si="43"/>
        <v>0</v>
      </c>
      <c r="BV11" s="1071">
        <f t="shared" si="43"/>
        <v>187552584469.9097</v>
      </c>
      <c r="BW11" s="1071">
        <f t="shared" si="43"/>
        <v>6037886499.4075489</v>
      </c>
      <c r="BX11" s="1071">
        <f t="shared" si="43"/>
        <v>2661598946.6776137</v>
      </c>
      <c r="BY11" s="1071">
        <f t="shared" si="44"/>
        <v>1575000000</v>
      </c>
      <c r="BZ11" s="1071">
        <f t="shared" si="79"/>
        <v>211242190406.84045</v>
      </c>
      <c r="CA11" s="1083"/>
      <c r="CB11" s="1078">
        <f t="shared" si="80"/>
        <v>1467625503006.9653</v>
      </c>
      <c r="CC11" s="1066"/>
      <c r="CD11" s="1086">
        <f t="shared" si="45"/>
        <v>155903775183.03906</v>
      </c>
      <c r="CE11" s="1075">
        <f t="shared" si="46"/>
        <v>6084948.8128630156</v>
      </c>
      <c r="CF11" s="1078">
        <f t="shared" si="47"/>
        <v>90570991181.885864</v>
      </c>
      <c r="CG11" s="1086">
        <f t="shared" si="81"/>
        <v>65332784001.153198</v>
      </c>
    </row>
    <row r="12" spans="1:85">
      <c r="A12" s="1056">
        <v>5</v>
      </c>
      <c r="B12" s="1078">
        <f>'04c_Resumen_MO'!B10</f>
        <v>27038.024665190002</v>
      </c>
      <c r="C12" s="1078">
        <f>'04c_Resumen_MO'!G10</f>
        <v>8082.1627811845974</v>
      </c>
      <c r="D12" s="1078">
        <f>'04c_Resumen_MO'!I10</f>
        <v>5998.1154100699305</v>
      </c>
      <c r="E12" s="1078">
        <f t="shared" si="48"/>
        <v>175491.6823787117</v>
      </c>
      <c r="F12" s="1078">
        <f>'08_ATC_por_USOS'!I11</f>
        <v>4134.3724785720451</v>
      </c>
      <c r="G12" s="1078">
        <f>'08_ATC_por_USOS'!M11</f>
        <v>14936.532912336539</v>
      </c>
      <c r="H12" s="1078">
        <f>'08_ATC_por_USOS'!Q11</f>
        <v>0</v>
      </c>
      <c r="I12" s="1078">
        <f>'08_ATC_por_USOS'!U11</f>
        <v>0</v>
      </c>
      <c r="J12" s="1078">
        <f>'08_ATC_por_USOS'!Y11</f>
        <v>0</v>
      </c>
      <c r="K12" s="1078">
        <f>'08_ATC_por_USOS'!BO11</f>
        <v>130603.28241341082</v>
      </c>
      <c r="L12" s="1078">
        <f>'08_ATC_por_USOS'!BA11</f>
        <v>14752.854042509896</v>
      </c>
      <c r="M12" s="1078">
        <f>'08_ATC_por_USOS'!BE11</f>
        <v>11064.640531882424</v>
      </c>
      <c r="N12" s="1078">
        <f>'11_Estacionamientos'!S13</f>
        <v>491</v>
      </c>
      <c r="O12" s="1078">
        <f t="shared" si="49"/>
        <v>175491.6823787117</v>
      </c>
      <c r="P12" s="1066"/>
      <c r="Q12" s="1074">
        <f t="shared" si="50"/>
        <v>26873421110.718292</v>
      </c>
      <c r="R12" s="1074">
        <f t="shared" si="51"/>
        <v>112023996842.52405</v>
      </c>
      <c r="S12" s="1074">
        <f t="shared" si="52"/>
        <v>0</v>
      </c>
      <c r="T12" s="1074">
        <f t="shared" si="53"/>
        <v>0</v>
      </c>
      <c r="U12" s="1074">
        <f t="shared" si="54"/>
        <v>0</v>
      </c>
      <c r="V12" s="1074">
        <f t="shared" si="55"/>
        <v>979524618100.58118</v>
      </c>
      <c r="W12" s="1074">
        <f t="shared" si="56"/>
        <v>94174959037.034134</v>
      </c>
      <c r="X12" s="1074">
        <f t="shared" si="57"/>
        <v>41513859493.876274</v>
      </c>
      <c r="Y12" s="1074">
        <f t="shared" si="58"/>
        <v>1254110854584.7339</v>
      </c>
      <c r="Z12" s="1074">
        <f t="shared" si="59"/>
        <v>24550000000</v>
      </c>
      <c r="AA12" s="1070">
        <f t="shared" si="60"/>
        <v>1278660854584.7339</v>
      </c>
      <c r="AB12" s="1069">
        <f t="shared" si="61"/>
        <v>0.14022812657010669</v>
      </c>
      <c r="AC12" s="1069"/>
      <c r="AD12" s="1085">
        <f t="shared" si="62"/>
        <v>215115.74862468021</v>
      </c>
      <c r="AE12" s="1085">
        <f>'08_ATC_por_USOS'!G11</f>
        <v>5374.6842221436582</v>
      </c>
      <c r="AF12" s="1085">
        <f>'08_ATC_por_USOS'!K11</f>
        <v>20164.319431654327</v>
      </c>
      <c r="AG12" s="1085">
        <f>'08_ATC_por_USOS'!O11</f>
        <v>0</v>
      </c>
      <c r="AH12" s="1085">
        <f>'08_ATC_por_USOS'!S11</f>
        <v>0</v>
      </c>
      <c r="AI12" s="1085">
        <f>'08_ATC_por_USOS'!W11</f>
        <v>0</v>
      </c>
      <c r="AJ12" s="1085">
        <f>'08_ATC_por_USOS'!AA11</f>
        <v>163484.94110983296</v>
      </c>
      <c r="AK12" s="1085">
        <f>'08_ATC_por_USOS'!AJ11</f>
        <v>14909.602206313863</v>
      </c>
      <c r="AL12" s="1085">
        <f>'08_ATC_por_USOS'!AN11</f>
        <v>11182.201654735398</v>
      </c>
      <c r="AM12" s="1085">
        <f>'11_Estacionamientos'!K13</f>
        <v>17549.168237871174</v>
      </c>
      <c r="AN12" s="1085">
        <f t="shared" si="63"/>
        <v>232664.91686255138</v>
      </c>
      <c r="AO12" s="1066"/>
      <c r="AP12" s="1074">
        <f t="shared" si="64"/>
        <v>12227406605.376822</v>
      </c>
      <c r="AQ12" s="1074">
        <f t="shared" si="65"/>
        <v>52931338508.092606</v>
      </c>
      <c r="AR12" s="1074">
        <f t="shared" si="66"/>
        <v>0</v>
      </c>
      <c r="AS12" s="1074">
        <f t="shared" si="67"/>
        <v>0</v>
      </c>
      <c r="AT12" s="1074">
        <f t="shared" si="68"/>
        <v>0</v>
      </c>
      <c r="AU12" s="1074">
        <f t="shared" si="69"/>
        <v>551761676245.68628</v>
      </c>
      <c r="AV12" s="1074">
        <f t="shared" si="70"/>
        <v>42829002974.372299</v>
      </c>
      <c r="AW12" s="1074">
        <f t="shared" si="71"/>
        <v>18879723760.131466</v>
      </c>
      <c r="AX12" s="1074">
        <f t="shared" si="72"/>
        <v>26323752356.806763</v>
      </c>
      <c r="AY12" s="1074">
        <f t="shared" si="73"/>
        <v>704952900450.46631</v>
      </c>
      <c r="AZ12" s="1066"/>
      <c r="BA12" s="1078">
        <f t="shared" si="74"/>
        <v>5998.1154100699305</v>
      </c>
      <c r="BB12" s="1075">
        <f t="shared" si="75"/>
        <v>1199623082.0139861</v>
      </c>
      <c r="BC12" s="1071">
        <f t="shared" si="76"/>
        <v>255732170916.94678</v>
      </c>
      <c r="BD12" s="1086">
        <f>'06_CARGAS'!Y12</f>
        <v>0</v>
      </c>
      <c r="BE12" s="1074">
        <f>'06_CARGAS'!W12</f>
        <v>17284606713.641964</v>
      </c>
      <c r="BF12" s="1074">
        <f t="shared" si="77"/>
        <v>17284606713.641964</v>
      </c>
      <c r="BG12" s="1074"/>
      <c r="BH12" s="1086">
        <f>'06_CARGAS'!Z12</f>
        <v>218371143.00966111</v>
      </c>
      <c r="BI12" s="1073">
        <v>0</v>
      </c>
      <c r="BJ12" s="1087">
        <f t="shared" si="39"/>
        <v>0.14022812657010669</v>
      </c>
      <c r="BK12" s="1073">
        <f t="shared" si="78"/>
        <v>1262053139.1309602</v>
      </c>
      <c r="BL12" s="1071">
        <f t="shared" si="40"/>
        <v>980649725445.20972</v>
      </c>
      <c r="BM12" s="1071"/>
      <c r="BN12" s="1071">
        <f t="shared" si="41"/>
        <v>17284606713.641964</v>
      </c>
      <c r="BO12" s="1071">
        <f t="shared" si="42"/>
        <v>1480424282.1406214</v>
      </c>
      <c r="BP12" s="1071"/>
      <c r="BQ12" s="1071">
        <f t="shared" si="43"/>
        <v>2149873688.8574634</v>
      </c>
      <c r="BR12" s="1071">
        <f t="shared" si="43"/>
        <v>8961919747.4019241</v>
      </c>
      <c r="BS12" s="1071">
        <f t="shared" si="43"/>
        <v>0</v>
      </c>
      <c r="BT12" s="1071">
        <f t="shared" si="43"/>
        <v>0</v>
      </c>
      <c r="BU12" s="1071">
        <f t="shared" si="43"/>
        <v>0</v>
      </c>
      <c r="BV12" s="1071">
        <f t="shared" si="43"/>
        <v>146928692715.08716</v>
      </c>
      <c r="BW12" s="1071">
        <f t="shared" si="43"/>
        <v>4708747951.8517065</v>
      </c>
      <c r="BX12" s="1071">
        <f t="shared" si="43"/>
        <v>2075692974.6938138</v>
      </c>
      <c r="BY12" s="1071">
        <f t="shared" si="44"/>
        <v>1227500000</v>
      </c>
      <c r="BZ12" s="1071">
        <f t="shared" si="79"/>
        <v>166052427077.89209</v>
      </c>
      <c r="CA12" s="1083"/>
      <c r="CB12" s="1078">
        <f t="shared" si="80"/>
        <v>1146702152523.1018</v>
      </c>
      <c r="CC12" s="1066"/>
      <c r="CD12" s="1086">
        <f t="shared" si="45"/>
        <v>131958702061.63208</v>
      </c>
      <c r="CE12" s="1075">
        <f t="shared" si="46"/>
        <v>4880486.044955858</v>
      </c>
      <c r="CF12" s="1078">
        <f t="shared" si="47"/>
        <v>95579417191.446655</v>
      </c>
      <c r="CG12" s="1086">
        <f t="shared" si="81"/>
        <v>36379284870.185425</v>
      </c>
    </row>
    <row r="13" spans="1:85">
      <c r="A13" s="1056">
        <v>6</v>
      </c>
      <c r="B13" s="1078">
        <f>'04c_Resumen_MO'!B11</f>
        <v>21089.89942655</v>
      </c>
      <c r="C13" s="1078">
        <f>'04c_Resumen_MO'!G11</f>
        <v>8585.5262072654805</v>
      </c>
      <c r="D13" s="1078">
        <f>'04c_Resumen_MO'!I11</f>
        <v>6680.3983195752862</v>
      </c>
      <c r="E13" s="1078">
        <f t="shared" si="48"/>
        <v>185697.11607324934</v>
      </c>
      <c r="F13" s="1078">
        <f>'08_ATC_por_USOS'!I12</f>
        <v>4744.6146367918464</v>
      </c>
      <c r="G13" s="1078">
        <f>'08_ATC_por_USOS'!M12</f>
        <v>16405.947060620092</v>
      </c>
      <c r="H13" s="1078">
        <f>'08_ATC_por_USOS'!Q12</f>
        <v>0</v>
      </c>
      <c r="I13" s="1078">
        <f>'08_ATC_por_USOS'!U12</f>
        <v>0</v>
      </c>
      <c r="J13" s="1078">
        <f>'08_ATC_por_USOS'!Y12</f>
        <v>0</v>
      </c>
      <c r="K13" s="1078">
        <f>'08_ATC_por_USOS'!BO12</f>
        <v>137206.86603957269</v>
      </c>
      <c r="L13" s="1078">
        <f>'08_ATC_por_USOS'!BA12</f>
        <v>15622.679049294135</v>
      </c>
      <c r="M13" s="1078">
        <f>'08_ATC_por_USOS'!BE12</f>
        <v>11717.009286970602</v>
      </c>
      <c r="N13" s="1078">
        <f>'11_Estacionamientos'!S14</f>
        <v>520</v>
      </c>
      <c r="O13" s="1078">
        <f t="shared" si="49"/>
        <v>185697.11607324934</v>
      </c>
      <c r="P13" s="1066"/>
      <c r="Q13" s="1074">
        <f t="shared" si="50"/>
        <v>30839995139.147003</v>
      </c>
      <c r="R13" s="1074">
        <f t="shared" si="51"/>
        <v>123044602954.6507</v>
      </c>
      <c r="S13" s="1074">
        <f t="shared" si="52"/>
        <v>0</v>
      </c>
      <c r="T13" s="1074">
        <f t="shared" si="53"/>
        <v>0</v>
      </c>
      <c r="U13" s="1074">
        <f t="shared" si="54"/>
        <v>0</v>
      </c>
      <c r="V13" s="1074">
        <f t="shared" si="55"/>
        <v>1029051495296.7952</v>
      </c>
      <c r="W13" s="1074">
        <f t="shared" si="56"/>
        <v>99727493763.349182</v>
      </c>
      <c r="X13" s="1074">
        <f t="shared" si="57"/>
        <v>43961507454.864136</v>
      </c>
      <c r="Y13" s="1074">
        <f t="shared" si="58"/>
        <v>1326625094608.8062</v>
      </c>
      <c r="Z13" s="1074">
        <f t="shared" si="59"/>
        <v>26000000000</v>
      </c>
      <c r="AA13" s="1070">
        <f t="shared" si="60"/>
        <v>1352625094608.8062</v>
      </c>
      <c r="AB13" s="1069">
        <f t="shared" si="61"/>
        <v>0.14833963383535867</v>
      </c>
      <c r="AC13" s="1069"/>
      <c r="AD13" s="1085">
        <f t="shared" si="62"/>
        <v>227923.8874869585</v>
      </c>
      <c r="AE13" s="1085">
        <f>'08_ATC_por_USOS'!G12</f>
        <v>6167.9990278294008</v>
      </c>
      <c r="AF13" s="1085">
        <f>'08_ATC_por_USOS'!K12</f>
        <v>22148.028531837121</v>
      </c>
      <c r="AG13" s="1085">
        <f>'08_ATC_por_USOS'!O12</f>
        <v>0</v>
      </c>
      <c r="AH13" s="1085">
        <f>'08_ATC_por_USOS'!S12</f>
        <v>0</v>
      </c>
      <c r="AI13" s="1085">
        <f>'08_ATC_por_USOS'!W12</f>
        <v>0</v>
      </c>
      <c r="AJ13" s="1085">
        <f>'08_ATC_por_USOS'!AA12</f>
        <v>171977.68908958489</v>
      </c>
      <c r="AK13" s="1085">
        <f>'08_ATC_por_USOS'!AJ12</f>
        <v>15788.669050118337</v>
      </c>
      <c r="AL13" s="1085">
        <f>'08_ATC_por_USOS'!AN12</f>
        <v>11841.501787588752</v>
      </c>
      <c r="AM13" s="1085">
        <f>'11_Estacionamientos'!K14</f>
        <v>18569.711607324938</v>
      </c>
      <c r="AN13" s="1085">
        <f t="shared" si="63"/>
        <v>246493.59909428345</v>
      </c>
      <c r="AO13" s="1066"/>
      <c r="AP13" s="1074">
        <f t="shared" si="64"/>
        <v>14032197788.311888</v>
      </c>
      <c r="AQ13" s="1074">
        <f t="shared" si="65"/>
        <v>58138574896.072441</v>
      </c>
      <c r="AR13" s="1074">
        <f t="shared" si="66"/>
        <v>0</v>
      </c>
      <c r="AS13" s="1074">
        <f t="shared" si="67"/>
        <v>0</v>
      </c>
      <c r="AT13" s="1074">
        <f t="shared" si="68"/>
        <v>0</v>
      </c>
      <c r="AU13" s="1074">
        <f t="shared" si="69"/>
        <v>580424700677.349</v>
      </c>
      <c r="AV13" s="1074">
        <f t="shared" si="70"/>
        <v>45354191503.683311</v>
      </c>
      <c r="AW13" s="1074">
        <f t="shared" si="71"/>
        <v>19992868091.419582</v>
      </c>
      <c r="AX13" s="1074">
        <f t="shared" si="72"/>
        <v>27854567410.987408</v>
      </c>
      <c r="AY13" s="1074">
        <f t="shared" si="73"/>
        <v>745797100367.82361</v>
      </c>
      <c r="AZ13" s="1066"/>
      <c r="BA13" s="1078">
        <f t="shared" si="74"/>
        <v>6680.3983195752862</v>
      </c>
      <c r="BB13" s="1075">
        <f t="shared" si="75"/>
        <v>1336079663.9150572</v>
      </c>
      <c r="BC13" s="1071">
        <f t="shared" si="76"/>
        <v>270525018921.76123</v>
      </c>
      <c r="BD13" s="1086">
        <f>'06_CARGAS'!Y13</f>
        <v>140612217.31200001</v>
      </c>
      <c r="BE13" s="1074">
        <f>'06_CARGAS'!W13</f>
        <v>22591871946.130657</v>
      </c>
      <c r="BF13" s="1074">
        <f t="shared" si="77"/>
        <v>22732484163.442657</v>
      </c>
      <c r="BG13" s="1074"/>
      <c r="BH13" s="1086">
        <f>'06_CARGAS'!Z13</f>
        <v>243210761.55959904</v>
      </c>
      <c r="BI13" s="1073">
        <v>0</v>
      </c>
      <c r="BJ13" s="1087">
        <f t="shared" si="39"/>
        <v>0.14833963383535867</v>
      </c>
      <c r="BK13" s="1073">
        <f t="shared" si="78"/>
        <v>1335056704.5182281</v>
      </c>
      <c r="BL13" s="1071">
        <f t="shared" si="40"/>
        <v>1041968950583.0203</v>
      </c>
      <c r="BM13" s="1071"/>
      <c r="BN13" s="1071">
        <f t="shared" si="41"/>
        <v>22732484163.442657</v>
      </c>
      <c r="BO13" s="1071">
        <f t="shared" si="42"/>
        <v>1578267466.077827</v>
      </c>
      <c r="BP13" s="1071"/>
      <c r="BQ13" s="1071">
        <f t="shared" si="43"/>
        <v>2467199611.1317601</v>
      </c>
      <c r="BR13" s="1071">
        <f t="shared" si="43"/>
        <v>9843568236.3720551</v>
      </c>
      <c r="BS13" s="1071">
        <f t="shared" si="43"/>
        <v>0</v>
      </c>
      <c r="BT13" s="1071">
        <f t="shared" si="43"/>
        <v>0</v>
      </c>
      <c r="BU13" s="1071">
        <f t="shared" si="43"/>
        <v>0</v>
      </c>
      <c r="BV13" s="1071">
        <f t="shared" si="43"/>
        <v>154357724294.51926</v>
      </c>
      <c r="BW13" s="1071">
        <f t="shared" si="43"/>
        <v>4986374688.1674595</v>
      </c>
      <c r="BX13" s="1071">
        <f t="shared" si="43"/>
        <v>2198075372.743207</v>
      </c>
      <c r="BY13" s="1071">
        <f t="shared" si="44"/>
        <v>1300000000</v>
      </c>
      <c r="BZ13" s="1071">
        <f t="shared" si="79"/>
        <v>175152942202.93372</v>
      </c>
      <c r="CA13" s="1083"/>
      <c r="CB13" s="1078">
        <f t="shared" si="80"/>
        <v>1217121892785.9541</v>
      </c>
      <c r="CC13" s="1066"/>
      <c r="CD13" s="1086">
        <f t="shared" si="45"/>
        <v>135503201822.85205</v>
      </c>
      <c r="CE13" s="1075">
        <f t="shared" si="46"/>
        <v>6425028.3551503113</v>
      </c>
      <c r="CF13" s="1078">
        <f t="shared" si="47"/>
        <v>74552794472.854248</v>
      </c>
      <c r="CG13" s="1086">
        <f t="shared" si="81"/>
        <v>60950407349.997803</v>
      </c>
    </row>
    <row r="14" spans="1:85">
      <c r="A14" s="1056">
        <v>7</v>
      </c>
      <c r="B14" s="1078">
        <f>'04c_Resumen_MO'!B12</f>
        <v>23967.619699999999</v>
      </c>
      <c r="C14" s="1078">
        <f>'04c_Resumen_MO'!G12</f>
        <v>7248.8624195173397</v>
      </c>
      <c r="D14" s="1078">
        <f>'04c_Resumen_MO'!I12</f>
        <v>6265.2010167113922</v>
      </c>
      <c r="E14" s="1078">
        <f t="shared" si="48"/>
        <v>124350.85814962009</v>
      </c>
      <c r="F14" s="1078">
        <f>'08_ATC_por_USOS'!I13</f>
        <v>9910.126311945045</v>
      </c>
      <c r="G14" s="1078">
        <f>'08_ATC_por_USOS'!M13</f>
        <v>9804.398687015444</v>
      </c>
      <c r="H14" s="1078">
        <f>'08_ATC_por_USOS'!Q13</f>
        <v>0</v>
      </c>
      <c r="I14" s="1078">
        <f>'08_ATC_por_USOS'!U13</f>
        <v>0</v>
      </c>
      <c r="J14" s="1078">
        <f>'08_ATC_por_USOS'!Y13</f>
        <v>0</v>
      </c>
      <c r="K14" s="1078">
        <f>'08_ATC_por_USOS'!BO13</f>
        <v>86209.419475656105</v>
      </c>
      <c r="L14" s="1078">
        <f>'08_ATC_por_USOS'!BA13</f>
        <v>10529.664957144851</v>
      </c>
      <c r="M14" s="1078">
        <f>'08_ATC_por_USOS'!BE13</f>
        <v>7897.2487178586389</v>
      </c>
      <c r="N14" s="1078">
        <f>'11_Estacionamientos'!S15</f>
        <v>348</v>
      </c>
      <c r="O14" s="1078">
        <f t="shared" si="49"/>
        <v>124350.85814962009</v>
      </c>
      <c r="P14" s="1066"/>
      <c r="Q14" s="1074">
        <f t="shared" si="50"/>
        <v>64415821027.642792</v>
      </c>
      <c r="R14" s="1074">
        <f t="shared" si="51"/>
        <v>73532990152.615829</v>
      </c>
      <c r="S14" s="1074">
        <f t="shared" si="52"/>
        <v>0</v>
      </c>
      <c r="T14" s="1074">
        <f t="shared" si="53"/>
        <v>0</v>
      </c>
      <c r="U14" s="1074">
        <f t="shared" si="54"/>
        <v>0</v>
      </c>
      <c r="V14" s="1074">
        <f t="shared" si="55"/>
        <v>646570646067.42078</v>
      </c>
      <c r="W14" s="1074">
        <f t="shared" si="56"/>
        <v>67216198516.941635</v>
      </c>
      <c r="X14" s="1074">
        <f t="shared" si="57"/>
        <v>29629997713.590603</v>
      </c>
      <c r="Y14" s="1074">
        <f t="shared" si="58"/>
        <v>881365653478.21167</v>
      </c>
      <c r="Z14" s="1074">
        <f t="shared" si="59"/>
        <v>17400000000</v>
      </c>
      <c r="AA14" s="1070">
        <f t="shared" si="60"/>
        <v>898765653478.21167</v>
      </c>
      <c r="AB14" s="1069">
        <f t="shared" si="61"/>
        <v>9.8565795113621707E-2</v>
      </c>
      <c r="AC14" s="1069"/>
      <c r="AD14" s="1085">
        <f t="shared" si="62"/>
        <v>154103.64589904289</v>
      </c>
      <c r="AE14" s="1085">
        <f>'08_ATC_por_USOS'!G13</f>
        <v>12883.164205528557</v>
      </c>
      <c r="AF14" s="1085">
        <f>'08_ATC_por_USOS'!K13</f>
        <v>13235.938227470848</v>
      </c>
      <c r="AG14" s="1085">
        <f>'08_ATC_por_USOS'!O13</f>
        <v>0</v>
      </c>
      <c r="AH14" s="1085">
        <f>'08_ATC_por_USOS'!S13</f>
        <v>0</v>
      </c>
      <c r="AI14" s="1085">
        <f>'08_ATC_por_USOS'!W13</f>
        <v>0</v>
      </c>
      <c r="AJ14" s="1085">
        <f>'08_ATC_por_USOS'!AA13</f>
        <v>109361.84497036679</v>
      </c>
      <c r="AK14" s="1085">
        <f>'08_ATC_por_USOS'!AJ13</f>
        <v>10641.541997529548</v>
      </c>
      <c r="AL14" s="1085">
        <f>'08_ATC_por_USOS'!AN13</f>
        <v>7981.156498147162</v>
      </c>
      <c r="AM14" s="1085">
        <f>'11_Estacionamientos'!K15</f>
        <v>12435.085814962011</v>
      </c>
      <c r="AN14" s="1085">
        <f t="shared" si="63"/>
        <v>166538.73171400491</v>
      </c>
      <c r="AO14" s="1066"/>
      <c r="AP14" s="1074">
        <f t="shared" si="64"/>
        <v>29309198567.577469</v>
      </c>
      <c r="AQ14" s="1074">
        <f t="shared" si="65"/>
        <v>34744337847.110977</v>
      </c>
      <c r="AR14" s="1074">
        <f t="shared" si="66"/>
        <v>0</v>
      </c>
      <c r="AS14" s="1074">
        <f t="shared" si="67"/>
        <v>0</v>
      </c>
      <c r="AT14" s="1074">
        <f t="shared" si="68"/>
        <v>0</v>
      </c>
      <c r="AU14" s="1074">
        <f t="shared" si="69"/>
        <v>369096226774.98792</v>
      </c>
      <c r="AV14" s="1074">
        <f t="shared" si="70"/>
        <v>30568664915.224525</v>
      </c>
      <c r="AW14" s="1074">
        <f t="shared" si="71"/>
        <v>13475166574.874487</v>
      </c>
      <c r="AX14" s="1074">
        <f t="shared" si="72"/>
        <v>18652628722.443016</v>
      </c>
      <c r="AY14" s="1074">
        <f t="shared" si="73"/>
        <v>495846223402.21844</v>
      </c>
      <c r="AZ14" s="1066"/>
      <c r="BA14" s="1078">
        <f t="shared" si="74"/>
        <v>6265.2010167113922</v>
      </c>
      <c r="BB14" s="1075">
        <f t="shared" si="75"/>
        <v>1253040203.3422785</v>
      </c>
      <c r="BC14" s="1071">
        <f t="shared" si="76"/>
        <v>179753130695.64233</v>
      </c>
      <c r="BD14" s="1086">
        <f>'06_CARGAS'!Y14</f>
        <v>0</v>
      </c>
      <c r="BE14" s="1074">
        <f>'06_CARGAS'!W14</f>
        <v>17439703666.18576</v>
      </c>
      <c r="BF14" s="1074">
        <f t="shared" si="77"/>
        <v>17439703666.18576</v>
      </c>
      <c r="BG14" s="1074"/>
      <c r="BH14" s="1086">
        <f>'06_CARGAS'!Z14</f>
        <v>228094828.7369827</v>
      </c>
      <c r="BI14" s="1073">
        <v>0</v>
      </c>
      <c r="BJ14" s="1087">
        <f t="shared" si="39"/>
        <v>9.8565795113621707E-2</v>
      </c>
      <c r="BK14" s="1073">
        <f t="shared" si="78"/>
        <v>887092156.02259541</v>
      </c>
      <c r="BL14" s="1071">
        <f t="shared" si="40"/>
        <v>695407284952.14844</v>
      </c>
      <c r="BM14" s="1071"/>
      <c r="BN14" s="1071">
        <f t="shared" si="41"/>
        <v>17439703666.18576</v>
      </c>
      <c r="BO14" s="1071">
        <f t="shared" si="42"/>
        <v>1115186984.7595782</v>
      </c>
      <c r="BP14" s="1071"/>
      <c r="BQ14" s="1071">
        <f t="shared" si="43"/>
        <v>5153265682.2114239</v>
      </c>
      <c r="BR14" s="1071">
        <f t="shared" si="43"/>
        <v>5882639212.2092667</v>
      </c>
      <c r="BS14" s="1071">
        <f t="shared" si="43"/>
        <v>0</v>
      </c>
      <c r="BT14" s="1071">
        <f t="shared" si="43"/>
        <v>0</v>
      </c>
      <c r="BU14" s="1071">
        <f t="shared" si="43"/>
        <v>0</v>
      </c>
      <c r="BV14" s="1071">
        <f t="shared" si="43"/>
        <v>96985596910.113113</v>
      </c>
      <c r="BW14" s="1071">
        <f t="shared" si="43"/>
        <v>3360809925.8470821</v>
      </c>
      <c r="BX14" s="1071">
        <f t="shared" si="43"/>
        <v>1481499885.6795301</v>
      </c>
      <c r="BY14" s="1071">
        <f t="shared" si="44"/>
        <v>870000000</v>
      </c>
      <c r="BZ14" s="1071">
        <f t="shared" si="79"/>
        <v>113733811616.06041</v>
      </c>
      <c r="CA14" s="1083"/>
      <c r="CB14" s="1078">
        <f t="shared" si="80"/>
        <v>809141096568.20886</v>
      </c>
      <c r="CC14" s="1066"/>
      <c r="CD14" s="1086">
        <f t="shared" si="45"/>
        <v>89624556910.002808</v>
      </c>
      <c r="CE14" s="1075">
        <f t="shared" si="46"/>
        <v>3739401.6607332439</v>
      </c>
      <c r="CF14" s="1078">
        <f t="shared" si="47"/>
        <v>84725535639.5</v>
      </c>
      <c r="CG14" s="1086">
        <f t="shared" si="81"/>
        <v>4899021270.5028076</v>
      </c>
    </row>
    <row r="15" spans="1:85">
      <c r="A15" s="1056">
        <v>8</v>
      </c>
      <c r="B15" s="1078">
        <f>'04c_Resumen_MO'!B13</f>
        <v>14752.6990159</v>
      </c>
      <c r="C15" s="1078">
        <f>'04c_Resumen_MO'!G13</f>
        <v>4780.4156503677968</v>
      </c>
      <c r="D15" s="1078">
        <f>'04c_Resumen_MO'!I13</f>
        <v>3425.1479890293858</v>
      </c>
      <c r="E15" s="1078">
        <f t="shared" si="48"/>
        <v>90089.148434017989</v>
      </c>
      <c r="F15" s="1078">
        <f>'08_ATC_por_USOS'!I14</f>
        <v>0</v>
      </c>
      <c r="G15" s="1078">
        <f>'08_ATC_por_USOS'!M14</f>
        <v>0</v>
      </c>
      <c r="H15" s="1078">
        <f>'08_ATC_por_USOS'!Q14</f>
        <v>0</v>
      </c>
      <c r="I15" s="1078">
        <f>'08_ATC_por_USOS'!U14</f>
        <v>0</v>
      </c>
      <c r="J15" s="1078">
        <f>'08_ATC_por_USOS'!Y14</f>
        <v>90089.148434017989</v>
      </c>
      <c r="K15" s="1078">
        <f>'08_ATC_por_USOS'!BO14</f>
        <v>0</v>
      </c>
      <c r="L15" s="1078">
        <f>'08_ATC_por_USOS'!BA14</f>
        <v>0</v>
      </c>
      <c r="M15" s="1078">
        <f>'08_ATC_por_USOS'!BE14</f>
        <v>0</v>
      </c>
      <c r="N15" s="1078">
        <f>'11_Estacionamientos'!S16</f>
        <v>180</v>
      </c>
      <c r="O15" s="1078">
        <f t="shared" si="49"/>
        <v>90089.148434017989</v>
      </c>
      <c r="P15" s="1066"/>
      <c r="Q15" s="1074">
        <f t="shared" si="50"/>
        <v>0</v>
      </c>
      <c r="R15" s="1074">
        <f t="shared" si="51"/>
        <v>0</v>
      </c>
      <c r="S15" s="1074">
        <f t="shared" si="52"/>
        <v>0</v>
      </c>
      <c r="T15" s="1074">
        <f t="shared" si="53"/>
        <v>0</v>
      </c>
      <c r="U15" s="1074">
        <f t="shared" si="54"/>
        <v>810802335906.16187</v>
      </c>
      <c r="V15" s="1074">
        <f t="shared" si="55"/>
        <v>0</v>
      </c>
      <c r="W15" s="1074">
        <f t="shared" si="56"/>
        <v>0</v>
      </c>
      <c r="X15" s="1074">
        <f t="shared" si="57"/>
        <v>0</v>
      </c>
      <c r="Y15" s="1074">
        <f t="shared" si="58"/>
        <v>810802335906.16187</v>
      </c>
      <c r="Z15" s="1074">
        <f t="shared" si="59"/>
        <v>9000000000</v>
      </c>
      <c r="AA15" s="1070">
        <f t="shared" si="60"/>
        <v>819802335906.16187</v>
      </c>
      <c r="AB15" s="1069">
        <f t="shared" si="61"/>
        <v>8.9906049215257577E-2</v>
      </c>
      <c r="AC15" s="1069"/>
      <c r="AD15" s="1085">
        <f t="shared" si="62"/>
        <v>121620.35038592429</v>
      </c>
      <c r="AE15" s="1085">
        <f>'08_ATC_por_USOS'!G14</f>
        <v>0</v>
      </c>
      <c r="AF15" s="1085">
        <f>'08_ATC_por_USOS'!K14</f>
        <v>0</v>
      </c>
      <c r="AG15" s="1085">
        <f>'08_ATC_por_USOS'!O14</f>
        <v>0</v>
      </c>
      <c r="AH15" s="1085">
        <f>'08_ATC_por_USOS'!S14</f>
        <v>0</v>
      </c>
      <c r="AI15" s="1085">
        <f>'08_ATC_por_USOS'!W14</f>
        <v>121620.35038592429</v>
      </c>
      <c r="AJ15" s="1085">
        <f>'08_ATC_por_USOS'!AA14</f>
        <v>0</v>
      </c>
      <c r="AK15" s="1085">
        <v>0</v>
      </c>
      <c r="AL15" s="1085">
        <v>0</v>
      </c>
      <c r="AM15" s="1085">
        <f>'11_Estacionamientos'!K16</f>
        <v>9008.9148434017989</v>
      </c>
      <c r="AN15" s="1085">
        <f t="shared" si="63"/>
        <v>130629.26522932609</v>
      </c>
      <c r="AO15" s="1066"/>
      <c r="AP15" s="1074">
        <f t="shared" si="64"/>
        <v>0</v>
      </c>
      <c r="AQ15" s="1074">
        <f t="shared" si="65"/>
        <v>0</v>
      </c>
      <c r="AR15" s="1074">
        <f t="shared" si="66"/>
        <v>0</v>
      </c>
      <c r="AS15" s="1074">
        <f t="shared" si="67"/>
        <v>0</v>
      </c>
      <c r="AT15" s="1074">
        <f t="shared" si="68"/>
        <v>383104103715.6615</v>
      </c>
      <c r="AU15" s="1074">
        <f t="shared" si="69"/>
        <v>0</v>
      </c>
      <c r="AV15" s="1074">
        <f t="shared" si="70"/>
        <v>0</v>
      </c>
      <c r="AW15" s="1074">
        <f t="shared" si="71"/>
        <v>0</v>
      </c>
      <c r="AX15" s="1074">
        <f t="shared" si="72"/>
        <v>13513372265.102697</v>
      </c>
      <c r="AY15" s="1074">
        <f t="shared" si="73"/>
        <v>396617475980.76422</v>
      </c>
      <c r="AZ15" s="1066"/>
      <c r="BA15" s="1078">
        <f t="shared" si="74"/>
        <v>3425.1479890293858</v>
      </c>
      <c r="BB15" s="1075">
        <f t="shared" si="75"/>
        <v>685029597.80587721</v>
      </c>
      <c r="BC15" s="1071">
        <f t="shared" si="76"/>
        <v>163960467181.23239</v>
      </c>
      <c r="BD15" s="1086">
        <f>'06_CARGAS'!Y15</f>
        <v>8878424533.6995564</v>
      </c>
      <c r="BE15" s="1074">
        <f>'06_CARGAS'!W15</f>
        <v>12589383392.232136</v>
      </c>
      <c r="BF15" s="1074">
        <f t="shared" si="77"/>
        <v>21467807925.931694</v>
      </c>
      <c r="BG15" s="1074"/>
      <c r="BH15" s="1086">
        <f>'06_CARGAS'!Z15</f>
        <v>124698081.01489478</v>
      </c>
      <c r="BI15" s="1073" t="e">
        <f>'06_CARGAS'!#REF!</f>
        <v>#REF!</v>
      </c>
      <c r="BJ15" s="1087">
        <f t="shared" si="39"/>
        <v>8.9906049215257577E-2</v>
      </c>
      <c r="BK15" s="1073">
        <f t="shared" si="78"/>
        <v>809154442.93731821</v>
      </c>
      <c r="BL15" s="1071" t="e">
        <f t="shared" si="40"/>
        <v>#REF!</v>
      </c>
      <c r="BM15" s="1071"/>
      <c r="BN15" s="1071">
        <f t="shared" si="41"/>
        <v>21467807925.931694</v>
      </c>
      <c r="BO15" s="1071" t="e">
        <f t="shared" si="42"/>
        <v>#REF!</v>
      </c>
      <c r="BP15" s="1071"/>
      <c r="BQ15" s="1071">
        <f t="shared" si="43"/>
        <v>0</v>
      </c>
      <c r="BR15" s="1071">
        <f t="shared" si="43"/>
        <v>0</v>
      </c>
      <c r="BS15" s="1071">
        <f t="shared" si="43"/>
        <v>0</v>
      </c>
      <c r="BT15" s="1071">
        <f t="shared" si="43"/>
        <v>0</v>
      </c>
      <c r="BU15" s="1071">
        <f t="shared" si="43"/>
        <v>64864186872.49295</v>
      </c>
      <c r="BV15" s="1071">
        <f t="shared" si="43"/>
        <v>0</v>
      </c>
      <c r="BW15" s="1071">
        <f t="shared" si="43"/>
        <v>0</v>
      </c>
      <c r="BX15" s="1071">
        <f t="shared" si="43"/>
        <v>0</v>
      </c>
      <c r="BY15" s="1071">
        <f t="shared" si="44"/>
        <v>450000000</v>
      </c>
      <c r="BZ15" s="1071">
        <f t="shared" si="79"/>
        <v>65314186872.49295</v>
      </c>
      <c r="CA15" s="1083"/>
      <c r="CB15" s="1078" t="e">
        <f t="shared" si="80"/>
        <v>#REF!</v>
      </c>
      <c r="CC15" s="1066"/>
      <c r="CD15" s="1086" t="e">
        <f t="shared" si="45"/>
        <v>#REF!</v>
      </c>
      <c r="CE15" s="1075" t="e">
        <f t="shared" si="46"/>
        <v>#REF!</v>
      </c>
      <c r="CF15" s="1078">
        <f t="shared" si="47"/>
        <v>52150791021.206497</v>
      </c>
      <c r="CG15" s="1086" t="e">
        <f t="shared" si="81"/>
        <v>#REF!</v>
      </c>
    </row>
    <row r="16" spans="1:85">
      <c r="Q16" s="166"/>
      <c r="R16" s="166"/>
      <c r="S16" s="166"/>
      <c r="T16" s="166"/>
      <c r="U16" s="166"/>
      <c r="V16" s="166"/>
      <c r="W16" s="166"/>
      <c r="X16" s="166"/>
      <c r="Y16" s="166"/>
      <c r="Z16" s="166"/>
    </row>
    <row r="18" spans="20:21">
      <c r="T18" s="165"/>
    </row>
    <row r="21" spans="20:21">
      <c r="U21" s="165"/>
    </row>
  </sheetData>
  <mergeCells count="11">
    <mergeCell ref="A1:CG1"/>
    <mergeCell ref="AA5:AB5"/>
    <mergeCell ref="Q2:AB2"/>
    <mergeCell ref="BA2:BB2"/>
    <mergeCell ref="BQ2:BZ2"/>
    <mergeCell ref="BJ2:BK2"/>
    <mergeCell ref="A2:A5"/>
    <mergeCell ref="B2:B5"/>
    <mergeCell ref="C2:C5"/>
    <mergeCell ref="D2:D5"/>
    <mergeCell ref="E2:O2"/>
  </mergeCells>
  <conditionalFormatting sqref="CG8:CG15">
    <cfRule type="cellIs" dxfId="7" priority="1" operator="lessThan">
      <formula>0</formula>
    </cfRule>
  </conditionalFormatting>
  <pageMargins left="0.7" right="0.7" top="0.75" bottom="0.75" header="0.3" footer="0.3"/>
  <ignoredErrors>
    <ignoredError sqref="BK7" 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8218A-5FA5-4770-81E3-E1D93F5658E9}">
  <sheetPr>
    <tabColor rgb="FFFFFF00"/>
  </sheetPr>
  <dimension ref="A1:AZ27"/>
  <sheetViews>
    <sheetView zoomScale="115" zoomScaleNormal="115" workbookViewId="0">
      <pane xSplit="1" ySplit="7" topLeftCell="AC8" activePane="bottomRight" state="frozen"/>
      <selection pane="bottomRight" activeCell="AT1" sqref="AT1:AT3"/>
      <selection pane="bottomLeft" activeCell="A8" sqref="A8"/>
      <selection pane="topRight" activeCell="B1" sqref="B1"/>
    </sheetView>
  </sheetViews>
  <sheetFormatPr defaultColWidth="11.375" defaultRowHeight="13.15" outlineLevelCol="1"/>
  <cols>
    <col min="1" max="1" width="5.125" style="910" customWidth="1"/>
    <col min="2" max="2" width="10" style="903" bestFit="1" customWidth="1"/>
    <col min="3" max="3" width="6" style="931" bestFit="1" customWidth="1"/>
    <col min="4" max="4" width="15.125" style="903" bestFit="1" customWidth="1"/>
    <col min="5" max="5" width="14.375" style="903" bestFit="1" customWidth="1"/>
    <col min="6" max="6" width="26" style="903" bestFit="1" customWidth="1"/>
    <col min="7" max="7" width="7.875" style="903" bestFit="1" customWidth="1"/>
    <col min="8" max="8" width="7.875" style="903" customWidth="1"/>
    <col min="9" max="11" width="19.625" style="903" bestFit="1" customWidth="1"/>
    <col min="12" max="12" width="17.25" style="903" bestFit="1" customWidth="1"/>
    <col min="13" max="13" width="20.25" style="903" bestFit="1" customWidth="1"/>
    <col min="14" max="14" width="20.25" style="903" customWidth="1"/>
    <col min="15" max="15" width="23.875" style="903" bestFit="1" customWidth="1"/>
    <col min="16" max="16" width="4.375" style="903" bestFit="1" customWidth="1"/>
    <col min="17" max="17" width="23.75" style="903" bestFit="1" customWidth="1"/>
    <col min="18" max="18" width="23.375" style="903" bestFit="1" customWidth="1"/>
    <col min="19" max="19" width="13.125" style="1257" customWidth="1" outlineLevel="1"/>
    <col min="20" max="20" width="4.75" style="1257" customWidth="1"/>
    <col min="21" max="21" width="11.375" style="903" hidden="1" customWidth="1" outlineLevel="1"/>
    <col min="22" max="22" width="24.625" style="903" hidden="1" customWidth="1" outlineLevel="1"/>
    <col min="23" max="23" width="20.375" style="903" hidden="1" customWidth="1" outlineLevel="1"/>
    <col min="24" max="24" width="6.625" style="903" customWidth="1" collapsed="1"/>
    <col min="25" max="25" width="9.375" style="1258" customWidth="1"/>
    <col min="26" max="26" width="23.875" style="1148" bestFit="1" customWidth="1"/>
    <col min="27" max="27" width="16.875" style="903" bestFit="1" customWidth="1"/>
    <col min="28" max="28" width="5.875" style="910" bestFit="1" customWidth="1"/>
    <col min="29" max="29" width="5.875" style="910" customWidth="1"/>
    <col min="30" max="32" width="19.625" style="903" bestFit="1" customWidth="1"/>
    <col min="33" max="33" width="19.375" style="903" bestFit="1" customWidth="1"/>
    <col min="34" max="34" width="19.625" style="903" hidden="1" customWidth="1"/>
    <col min="35" max="35" width="6.875" style="903" hidden="1" customWidth="1"/>
    <col min="36" max="36" width="17.375" style="910" customWidth="1"/>
    <col min="37" max="37" width="8.75" style="910" hidden="1" customWidth="1"/>
    <col min="38" max="38" width="16" style="903" hidden="1" customWidth="1"/>
    <col min="39" max="39" width="16.25" style="903" hidden="1" customWidth="1"/>
    <col min="40" max="40" width="14.875" style="903" hidden="1" customWidth="1"/>
    <col min="41" max="41" width="16.25" style="903" hidden="1" customWidth="1"/>
    <col min="42" max="42" width="17.875" style="1276" bestFit="1" customWidth="1"/>
    <col min="43" max="45" width="5" style="1276" hidden="1" customWidth="1"/>
    <col min="46" max="47" width="19.625" style="1276" customWidth="1"/>
    <col min="48" max="48" width="4" style="903" customWidth="1"/>
    <col min="49" max="49" width="20.75" style="903" bestFit="1" customWidth="1"/>
    <col min="50" max="50" width="19" style="903" bestFit="1" customWidth="1"/>
    <col min="51" max="51" width="6" style="903" bestFit="1" customWidth="1"/>
    <col min="52" max="52" width="10.625" style="903" bestFit="1" customWidth="1"/>
    <col min="53" max="16384" width="11.375" style="903"/>
  </cols>
  <sheetData>
    <row r="1" spans="1:52" ht="36.75" customHeight="1" thickBot="1">
      <c r="A1" s="1631" t="s">
        <v>247</v>
      </c>
      <c r="B1" s="1637" t="s">
        <v>575</v>
      </c>
      <c r="C1" s="1637"/>
      <c r="D1" s="1637" t="s">
        <v>681</v>
      </c>
      <c r="E1" s="1637" t="s">
        <v>556</v>
      </c>
      <c r="F1" s="1692" t="str">
        <f>'12_BENEFICIOS'!AB5</f>
        <v>TOTAL VENTAS</v>
      </c>
      <c r="G1" s="1693"/>
      <c r="H1" s="1175"/>
      <c r="I1" s="1254" t="s">
        <v>824</v>
      </c>
      <c r="J1" s="1255"/>
      <c r="K1" s="1255"/>
      <c r="L1" s="1255"/>
      <c r="M1" s="1255"/>
      <c r="N1" s="1255"/>
      <c r="O1" s="1255"/>
      <c r="P1" s="1357"/>
      <c r="Q1" s="1256"/>
      <c r="AC1" s="1631" t="s">
        <v>825</v>
      </c>
      <c r="AD1" s="1637"/>
      <c r="AE1" s="1637"/>
      <c r="AF1" s="1637"/>
      <c r="AG1" s="1637"/>
      <c r="AH1" s="964"/>
      <c r="AI1" s="1383"/>
      <c r="AJ1" s="1637" t="s">
        <v>826</v>
      </c>
      <c r="AK1" s="1637"/>
      <c r="AL1" s="1637"/>
      <c r="AM1" s="1637"/>
      <c r="AN1" s="1637"/>
      <c r="AO1" s="1637"/>
      <c r="AP1" s="1637"/>
      <c r="AQ1" s="1384"/>
      <c r="AR1" s="1384"/>
      <c r="AS1" s="1384"/>
      <c r="AT1" s="1635" t="s">
        <v>827</v>
      </c>
      <c r="AU1" s="1687" t="s">
        <v>828</v>
      </c>
      <c r="AV1" s="1259"/>
      <c r="AW1" s="1259"/>
      <c r="AX1" s="1259"/>
      <c r="AY1" s="1259"/>
    </row>
    <row r="2" spans="1:52" ht="45.75" customHeight="1" thickBot="1">
      <c r="A2" s="1632"/>
      <c r="B2" s="1691"/>
      <c r="C2" s="1691"/>
      <c r="D2" s="1691"/>
      <c r="E2" s="1691"/>
      <c r="F2" s="1694"/>
      <c r="G2" s="1695"/>
      <c r="H2" s="1175"/>
      <c r="I2" s="1697" t="s">
        <v>829</v>
      </c>
      <c r="J2" s="1698"/>
      <c r="K2" s="1698"/>
      <c r="L2" s="1699" t="s">
        <v>830</v>
      </c>
      <c r="M2" s="1699"/>
      <c r="N2" s="1699"/>
      <c r="O2" s="1700"/>
      <c r="P2" s="1707" t="s">
        <v>247</v>
      </c>
      <c r="Q2" s="1696" t="s">
        <v>831</v>
      </c>
      <c r="R2" s="1696" t="s">
        <v>832</v>
      </c>
      <c r="S2" s="1689" t="s">
        <v>833</v>
      </c>
      <c r="T2" s="414"/>
      <c r="U2" s="1701" t="s">
        <v>834</v>
      </c>
      <c r="V2" s="1702"/>
      <c r="W2" s="1703"/>
      <c r="Y2" s="1704" t="s">
        <v>835</v>
      </c>
      <c r="Z2" s="1705"/>
      <c r="AA2" s="1706"/>
      <c r="AB2" s="1262"/>
      <c r="AC2" s="1709" t="s">
        <v>247</v>
      </c>
      <c r="AD2" s="1602" t="s">
        <v>836</v>
      </c>
      <c r="AE2" s="1602"/>
      <c r="AF2" s="1602"/>
      <c r="AG2" s="1602"/>
      <c r="AH2" s="865"/>
      <c r="AI2" s="1277"/>
      <c r="AJ2" s="1691" t="s">
        <v>837</v>
      </c>
      <c r="AK2" s="1691" t="s">
        <v>838</v>
      </c>
      <c r="AL2" s="1264" t="s">
        <v>839</v>
      </c>
      <c r="AM2" s="1691" t="s">
        <v>840</v>
      </c>
      <c r="AN2" s="1691"/>
      <c r="AO2" s="1691"/>
      <c r="AP2" s="1691"/>
      <c r="AQ2" s="1278"/>
      <c r="AR2" s="1278"/>
      <c r="AS2" s="1278"/>
      <c r="AT2" s="1636"/>
      <c r="AU2" s="1688"/>
      <c r="AV2" s="1263"/>
      <c r="AW2" s="1370"/>
      <c r="AX2" s="1371"/>
      <c r="AY2" s="1371"/>
    </row>
    <row r="3" spans="1:52" ht="52.9">
      <c r="A3" s="1632"/>
      <c r="B3" s="1691"/>
      <c r="C3" s="1691"/>
      <c r="D3" s="1691"/>
      <c r="E3" s="1691"/>
      <c r="F3" s="1694"/>
      <c r="G3" s="1695"/>
      <c r="H3" s="1175"/>
      <c r="I3" s="1265" t="s">
        <v>841</v>
      </c>
      <c r="J3" s="1260" t="s">
        <v>842</v>
      </c>
      <c r="K3" s="1266" t="s">
        <v>843</v>
      </c>
      <c r="L3" s="1261" t="s">
        <v>844</v>
      </c>
      <c r="M3" s="1267" t="s">
        <v>845</v>
      </c>
      <c r="N3" s="1261" t="s">
        <v>846</v>
      </c>
      <c r="O3" s="1268" t="s">
        <v>847</v>
      </c>
      <c r="P3" s="1708"/>
      <c r="Q3" s="1691"/>
      <c r="R3" s="1691"/>
      <c r="S3" s="1690"/>
      <c r="U3" s="1269" t="s">
        <v>848</v>
      </c>
      <c r="V3" s="1270" t="s">
        <v>849</v>
      </c>
      <c r="W3" s="1271" t="s">
        <v>563</v>
      </c>
      <c r="Y3" s="1272" t="s">
        <v>848</v>
      </c>
      <c r="Z3" s="1273" t="s">
        <v>850</v>
      </c>
      <c r="AA3" s="1274" t="s">
        <v>563</v>
      </c>
      <c r="AC3" s="1709"/>
      <c r="AD3" s="1378" t="s">
        <v>851</v>
      </c>
      <c r="AE3" s="865" t="s">
        <v>852</v>
      </c>
      <c r="AF3" s="865" t="s">
        <v>853</v>
      </c>
      <c r="AG3" s="865" t="s">
        <v>854</v>
      </c>
      <c r="AH3" s="865"/>
      <c r="AI3" s="1277"/>
      <c r="AJ3" s="1691"/>
      <c r="AK3" s="1691"/>
      <c r="AL3" s="1264" t="s">
        <v>855</v>
      </c>
      <c r="AM3" s="865" t="s">
        <v>844</v>
      </c>
      <c r="AN3" s="1275" t="s">
        <v>845</v>
      </c>
      <c r="AO3" s="1275" t="s">
        <v>846</v>
      </c>
      <c r="AP3" s="902" t="s">
        <v>856</v>
      </c>
      <c r="AQ3" s="913"/>
      <c r="AR3" s="913"/>
      <c r="AS3" s="913"/>
      <c r="AT3" s="1636"/>
      <c r="AU3" s="1688"/>
      <c r="AW3" s="952" t="s">
        <v>857</v>
      </c>
      <c r="AX3" s="964" t="s">
        <v>858</v>
      </c>
      <c r="AY3" s="964" t="s">
        <v>859</v>
      </c>
      <c r="AZ3" s="953" t="s">
        <v>860</v>
      </c>
    </row>
    <row r="4" spans="1:52">
      <c r="A4" s="960"/>
      <c r="B4" s="809"/>
      <c r="C4" s="1279"/>
      <c r="D4" s="809"/>
      <c r="E4" s="809"/>
      <c r="F4" s="918"/>
      <c r="G4" s="959"/>
      <c r="H4" s="1280"/>
      <c r="I4" s="1281">
        <f>'00_Datos_General'!C23</f>
        <v>3535000</v>
      </c>
      <c r="J4" s="1282"/>
      <c r="K4" s="1282"/>
      <c r="L4" s="1282"/>
      <c r="M4" s="1282"/>
      <c r="N4" s="1282"/>
      <c r="O4" s="1283"/>
      <c r="P4" s="1359"/>
      <c r="Q4" s="519"/>
      <c r="R4" s="519"/>
      <c r="S4" s="1360"/>
      <c r="U4" s="1284"/>
      <c r="W4" s="1285"/>
      <c r="Y4" s="1286"/>
      <c r="Z4" s="1147"/>
      <c r="AA4" s="1285"/>
      <c r="AC4" s="915"/>
      <c r="AD4" s="519"/>
      <c r="AE4" s="519"/>
      <c r="AF4" s="519"/>
      <c r="AG4" s="519"/>
      <c r="AH4" s="519"/>
      <c r="AI4" s="519"/>
      <c r="AJ4" s="518"/>
      <c r="AK4" s="518"/>
      <c r="AL4" s="519"/>
      <c r="AM4" s="519"/>
      <c r="AN4" s="519"/>
      <c r="AO4" s="519"/>
      <c r="AP4" s="913"/>
      <c r="AQ4" s="913"/>
      <c r="AR4" s="913"/>
      <c r="AS4" s="913"/>
      <c r="AT4" s="1287"/>
      <c r="AU4" s="1387"/>
      <c r="AW4" s="915" t="s">
        <v>176</v>
      </c>
      <c r="AX4" s="518" t="s">
        <v>176</v>
      </c>
      <c r="AY4" s="518" t="s">
        <v>557</v>
      </c>
      <c r="AZ4" s="916" t="s">
        <v>558</v>
      </c>
    </row>
    <row r="5" spans="1:52" s="1293" customFormat="1" hidden="1">
      <c r="A5" s="1288"/>
      <c r="B5" s="1289" t="s">
        <v>164</v>
      </c>
      <c r="C5" s="1290" t="s">
        <v>220</v>
      </c>
      <c r="D5" s="1291" t="s">
        <v>164</v>
      </c>
      <c r="E5" s="1291" t="s">
        <v>164</v>
      </c>
      <c r="F5" s="1291" t="s">
        <v>176</v>
      </c>
      <c r="G5" s="1292" t="s">
        <v>176</v>
      </c>
      <c r="I5" s="1294" t="s">
        <v>176</v>
      </c>
      <c r="J5" s="1294" t="s">
        <v>176</v>
      </c>
      <c r="K5" s="1294" t="s">
        <v>176</v>
      </c>
      <c r="L5" s="1294" t="s">
        <v>176</v>
      </c>
      <c r="M5" s="1294" t="s">
        <v>176</v>
      </c>
      <c r="N5" s="1294" t="s">
        <v>176</v>
      </c>
      <c r="O5" s="1295" t="s">
        <v>176</v>
      </c>
      <c r="P5" s="1361"/>
      <c r="Q5" s="1291" t="s">
        <v>176</v>
      </c>
      <c r="R5" s="518"/>
      <c r="S5" s="1362" t="s">
        <v>557</v>
      </c>
      <c r="T5" s="1297"/>
      <c r="U5" s="1298"/>
      <c r="W5" s="1299"/>
      <c r="Y5" s="1300" t="s">
        <v>557</v>
      </c>
      <c r="Z5" s="1301" t="s">
        <v>176</v>
      </c>
      <c r="AA5" s="1299" t="s">
        <v>176</v>
      </c>
      <c r="AC5" s="1288"/>
      <c r="AD5" s="1291" t="s">
        <v>176</v>
      </c>
      <c r="AE5" s="1291" t="s">
        <v>176</v>
      </c>
      <c r="AF5" s="1291" t="s">
        <v>176</v>
      </c>
      <c r="AG5" s="1291" t="s">
        <v>176</v>
      </c>
      <c r="AH5" s="1291" t="s">
        <v>176</v>
      </c>
      <c r="AI5" s="1291"/>
      <c r="AJ5" s="1291"/>
      <c r="AK5" s="1291"/>
      <c r="AL5" s="1291"/>
      <c r="AM5" s="1291"/>
      <c r="AN5" s="1291"/>
      <c r="AO5" s="1291"/>
      <c r="AP5" s="912"/>
      <c r="AQ5" s="912"/>
      <c r="AR5" s="912"/>
      <c r="AS5" s="912"/>
      <c r="AT5" s="1302"/>
      <c r="AU5" s="1388"/>
      <c r="AW5" s="1288"/>
      <c r="AX5" s="1291"/>
      <c r="AY5" s="1291"/>
      <c r="AZ5" s="1292"/>
    </row>
    <row r="6" spans="1:52" s="1293" customFormat="1" hidden="1">
      <c r="A6" s="1288"/>
      <c r="B6" s="1289"/>
      <c r="C6" s="1290"/>
      <c r="D6" s="1291"/>
      <c r="E6" s="1291"/>
      <c r="F6" s="1291"/>
      <c r="G6" s="1292"/>
      <c r="I6" s="1294"/>
      <c r="J6" s="1296"/>
      <c r="K6" s="1296"/>
      <c r="L6" s="1296"/>
      <c r="M6" s="1296"/>
      <c r="N6" s="1296"/>
      <c r="O6" s="1303"/>
      <c r="P6" s="1361"/>
      <c r="Q6" s="1291"/>
      <c r="R6" s="518"/>
      <c r="S6" s="1362"/>
      <c r="T6" s="1297"/>
      <c r="U6" s="1298"/>
      <c r="W6" s="1299"/>
      <c r="Y6" s="1300"/>
      <c r="Z6" s="1301"/>
      <c r="AA6" s="1299"/>
      <c r="AC6" s="1288"/>
      <c r="AD6" s="1291"/>
      <c r="AE6" s="1291"/>
      <c r="AF6" s="1291"/>
      <c r="AG6" s="1291"/>
      <c r="AH6" s="1291"/>
      <c r="AI6" s="1291"/>
      <c r="AJ6" s="1291"/>
      <c r="AK6" s="1291"/>
      <c r="AL6" s="1291"/>
      <c r="AM6" s="1291"/>
      <c r="AN6" s="1291"/>
      <c r="AO6" s="1291"/>
      <c r="AP6" s="912"/>
      <c r="AQ6" s="912"/>
      <c r="AR6" s="912"/>
      <c r="AS6" s="912"/>
      <c r="AT6" s="1302"/>
      <c r="AU6" s="1388"/>
      <c r="AW6" s="1288"/>
      <c r="AX6" s="1291"/>
      <c r="AY6" s="1291"/>
      <c r="AZ6" s="1292"/>
    </row>
    <row r="7" spans="1:52" s="917" customFormat="1" ht="13.15" customHeight="1">
      <c r="A7" s="960"/>
      <c r="B7" s="926">
        <f>SUM(B8:B15)</f>
        <v>164776.711307171</v>
      </c>
      <c r="C7" s="1279"/>
      <c r="D7" s="926">
        <f t="shared" ref="D7:F7" si="0">SUM(D8:D15)</f>
        <v>57671.848957509857</v>
      </c>
      <c r="E7" s="926">
        <f t="shared" si="0"/>
        <v>43948.044250916901</v>
      </c>
      <c r="F7" s="1304">
        <f t="shared" si="0"/>
        <v>9118433554380.1953</v>
      </c>
      <c r="G7" s="971">
        <f>SUM(G8:G15)</f>
        <v>1</v>
      </c>
      <c r="H7" s="920"/>
      <c r="I7" s="1305">
        <f t="shared" ref="I7:Q7" si="1">SUM(I8:I15)</f>
        <v>582485674470.84949</v>
      </c>
      <c r="J7" s="1306">
        <f t="shared" si="1"/>
        <v>138176226440.98502</v>
      </c>
      <c r="K7" s="1307">
        <f t="shared" si="1"/>
        <v>720661900911.83447</v>
      </c>
      <c r="L7" s="1306">
        <f t="shared" si="1"/>
        <v>1599999999.9999998</v>
      </c>
      <c r="M7" s="1306">
        <f t="shared" si="1"/>
        <v>9000000000</v>
      </c>
      <c r="N7" s="1306">
        <f>'06_CARGAS'!AF7</f>
        <v>24231404057.987335</v>
      </c>
      <c r="O7" s="1308">
        <f t="shared" si="1"/>
        <v>34831404057.987335</v>
      </c>
      <c r="P7" s="1369"/>
      <c r="Q7" s="1358">
        <f t="shared" si="1"/>
        <v>755493304969.8219</v>
      </c>
      <c r="R7" s="925">
        <f>SUM(R8:R15)</f>
        <v>9118433554380.1953</v>
      </c>
      <c r="S7" s="1363">
        <f t="shared" ref="S7:S15" si="2">F7/Q7</f>
        <v>12.069509411131618</v>
      </c>
      <c r="T7" s="1309"/>
      <c r="U7" s="1310"/>
      <c r="V7" s="1311">
        <f>SUM(V8:V15)</f>
        <v>9118433554380.1934</v>
      </c>
      <c r="W7" s="1312">
        <f>SUM(W8:W15)</f>
        <v>-1.5869140625E-3</v>
      </c>
      <c r="Y7" s="1313"/>
      <c r="Z7" s="1314">
        <f>SUM(Z8:Z15)</f>
        <v>755493304969.82202</v>
      </c>
      <c r="AA7" s="1315">
        <f>SUM(AA8:AA15)</f>
        <v>1.1444091796875E-4</v>
      </c>
      <c r="AB7" s="1316"/>
      <c r="AC7" s="1318"/>
      <c r="AD7" s="1159">
        <f>SUM(AD8:AD15)</f>
        <v>582485674470.84949</v>
      </c>
      <c r="AE7" s="1159">
        <f>SUM(AE8:AE15)</f>
        <v>138176226440.98502</v>
      </c>
      <c r="AF7" s="1159">
        <f>SUM(AF8:AF15)</f>
        <v>720661900911.83447</v>
      </c>
      <c r="AG7" s="1159">
        <f>SUM(AG8:AG15)</f>
        <v>-40556469678.416153</v>
      </c>
      <c r="AH7" s="1159">
        <f>SUM(AH8:AH15)</f>
        <v>255834007386.40381</v>
      </c>
      <c r="AI7" s="1159"/>
      <c r="AJ7" s="1358">
        <f>SUM(AJ8:AJ15)</f>
        <v>75387873736.403595</v>
      </c>
      <c r="AK7" s="1319">
        <f>SUM(AK8:AK15)</f>
        <v>0.99999999999999989</v>
      </c>
      <c r="AL7" s="1159">
        <f>ABS(AG7)</f>
        <v>40556469678.416153</v>
      </c>
      <c r="AM7" s="1136">
        <f>L7</f>
        <v>1599999999.9999998</v>
      </c>
      <c r="AN7" s="1136">
        <f>M7</f>
        <v>9000000000</v>
      </c>
      <c r="AO7" s="1136">
        <f>N7</f>
        <v>24231404057.987335</v>
      </c>
      <c r="AP7" s="1136">
        <f>SUM(AP8:AP15)</f>
        <v>34831404057.987335</v>
      </c>
      <c r="AQ7" s="1136"/>
      <c r="AR7" s="1136"/>
      <c r="AS7" s="1136"/>
      <c r="AT7" s="1320">
        <f>SUM(AT8:AT15)</f>
        <v>755493304969.8219</v>
      </c>
      <c r="AU7" s="1389"/>
      <c r="AV7" s="1317"/>
      <c r="AW7" s="1374">
        <f>SUM(AW8:AW15)</f>
        <v>9118433554380.1953</v>
      </c>
      <c r="AX7" s="1159">
        <f>SUM(AX8:AX15)</f>
        <v>755493304969.8219</v>
      </c>
      <c r="AY7" s="1372">
        <f t="shared" ref="AY7:AY15" si="3">AW7/AX7</f>
        <v>12.069509411131618</v>
      </c>
      <c r="AZ7" s="1375"/>
    </row>
    <row r="8" spans="1:52" ht="39.6" customHeight="1">
      <c r="A8" s="915">
        <v>1</v>
      </c>
      <c r="B8" s="1145">
        <f>'04c_Resumen_MO'!B6</f>
        <v>17268.248534736002</v>
      </c>
      <c r="C8" s="1322">
        <f>B8/$B$7</f>
        <v>0.10479787099613327</v>
      </c>
      <c r="D8" s="1145">
        <f>'04c_Resumen_MO'!G6</f>
        <v>4276.889186862838</v>
      </c>
      <c r="E8" s="1145">
        <f>'04c_Resumen_MO'!I6</f>
        <v>2921.1364674728761</v>
      </c>
      <c r="F8" s="1323">
        <f>'12_BENEFICIOS'!AB8</f>
        <v>910364451774.77075</v>
      </c>
      <c r="G8" s="1324">
        <f>'12_BENEFICIOS'!AC8</f>
        <v>9.983781165323749E-2</v>
      </c>
      <c r="H8" s="1325"/>
      <c r="I8" s="1326">
        <f t="shared" ref="I8:I15" si="4">B8*$I$4</f>
        <v>61043258570.291763</v>
      </c>
      <c r="J8" s="1327">
        <f>'06_CARGAS'!W8</f>
        <v>20317955283.753803</v>
      </c>
      <c r="K8" s="1328">
        <f t="shared" ref="K8:K15" si="5">SUM(I8:J8)</f>
        <v>81361213854.045563</v>
      </c>
      <c r="L8" s="1328">
        <f>'14_SIM_UF_INICIAL'!BH8</f>
        <v>106348722.17002217</v>
      </c>
      <c r="M8" s="1328">
        <f>'14_SIM_UF_INICIAL'!BK8</f>
        <v>898540304.8791374</v>
      </c>
      <c r="N8" s="1328">
        <f t="shared" ref="N8:N15" si="6">$N$7*C8</f>
        <v>2539399556.524137</v>
      </c>
      <c r="O8" s="1329">
        <f>SUM(L8:N8)</f>
        <v>3544288583.5732965</v>
      </c>
      <c r="P8" s="1364">
        <v>1</v>
      </c>
      <c r="Q8" s="1337">
        <f t="shared" ref="Q8:Q15" si="7">SUM(K8,O8)</f>
        <v>84905502437.618866</v>
      </c>
      <c r="R8" s="1145">
        <f>F8</f>
        <v>910364451774.77075</v>
      </c>
      <c r="S8" s="1360">
        <f t="shared" si="2"/>
        <v>10.722090154800355</v>
      </c>
      <c r="U8" s="1330">
        <f>$S$7</f>
        <v>12.069509411131618</v>
      </c>
      <c r="V8" s="1331">
        <f t="shared" ref="V8:V15" si="8">Q8*U8</f>
        <v>1024767760727.6995</v>
      </c>
      <c r="W8" s="1332">
        <f t="shared" ref="W8:W15" si="9">V8-F8</f>
        <v>114403308952.92871</v>
      </c>
      <c r="Y8" s="1313">
        <f>$S$7</f>
        <v>12.069509411131618</v>
      </c>
      <c r="Z8" s="1147">
        <f t="shared" ref="Z8:Z15" si="10">F8/Y8</f>
        <v>75426798286.858994</v>
      </c>
      <c r="AA8" s="1333">
        <f t="shared" ref="AA8:AA15" si="11">Z8-Q8</f>
        <v>-9478704150.7598724</v>
      </c>
      <c r="AB8" s="1334" t="str">
        <f t="shared" ref="AB8:AB15" si="12">IF(Z8&lt;AF8,"ajustar","ok")</f>
        <v>ajustar</v>
      </c>
      <c r="AC8" s="1379">
        <v>1</v>
      </c>
      <c r="AD8" s="1337">
        <f t="shared" ref="AD8:AE15" si="13">I8</f>
        <v>61043258570.291763</v>
      </c>
      <c r="AE8" s="1337">
        <f t="shared" si="13"/>
        <v>20317955283.753803</v>
      </c>
      <c r="AF8" s="1337">
        <f t="shared" ref="AF8:AF15" si="14">SUM(AD8:AE8)</f>
        <v>81361213854.045563</v>
      </c>
      <c r="AG8" s="1337">
        <f>Z8-AF8</f>
        <v>-5934415567.1865692</v>
      </c>
      <c r="AH8" s="1337">
        <f>SUM(AF8:AG8)</f>
        <v>75426798286.858994</v>
      </c>
      <c r="AI8" s="1381" t="str">
        <f>IF(Z8=AH8,"ok",0)</f>
        <v>ok</v>
      </c>
      <c r="AJ8" s="1381">
        <v>0</v>
      </c>
      <c r="AK8" s="1336">
        <f>AJ8/$AJ$7</f>
        <v>0</v>
      </c>
      <c r="AL8" s="1337">
        <f>AK8*$AL$7</f>
        <v>0</v>
      </c>
      <c r="AM8" s="1337">
        <f>AK8*$AM$7</f>
        <v>0</v>
      </c>
      <c r="AN8" s="1337">
        <f>AK8*$AN$7</f>
        <v>0</v>
      </c>
      <c r="AO8" s="1337">
        <f>AK8*$AO$7</f>
        <v>0</v>
      </c>
      <c r="AP8" s="1382">
        <f>SUM(AM8:AO8)</f>
        <v>0</v>
      </c>
      <c r="AQ8" s="1382"/>
      <c r="AR8" s="1382"/>
      <c r="AS8" s="1382"/>
      <c r="AT8" s="1338">
        <f>AH8</f>
        <v>75426798286.858994</v>
      </c>
      <c r="AU8" s="1390" t="str">
        <f t="shared" ref="AU8:AU15" si="15">IF(Z8=AT8,"ok","error")</f>
        <v>ok</v>
      </c>
      <c r="AV8" s="1335"/>
      <c r="AW8" s="1203">
        <f t="shared" ref="AW8:AW15" si="16">F8</f>
        <v>910364451774.77075</v>
      </c>
      <c r="AX8" s="1337">
        <f>AT8</f>
        <v>75426798286.858994</v>
      </c>
      <c r="AY8" s="1373">
        <f t="shared" si="3"/>
        <v>12.069509411131618</v>
      </c>
      <c r="AZ8" s="916" t="str">
        <f>IF(AY8=$S$7,"ok","error")</f>
        <v>ok</v>
      </c>
    </row>
    <row r="9" spans="1:52">
      <c r="A9" s="915">
        <v>2</v>
      </c>
      <c r="B9" s="1145">
        <f>'04c_Resumen_MO'!B7</f>
        <v>15602.531511536001</v>
      </c>
      <c r="C9" s="1322">
        <f t="shared" ref="C9:C15" si="17">B9/$B$7</f>
        <v>9.4688936244456928E-2</v>
      </c>
      <c r="D9" s="1145">
        <f>'04c_Resumen_MO'!G7</f>
        <v>6900.3438999605678</v>
      </c>
      <c r="E9" s="1145">
        <f>'04c_Resumen_MO'!I7</f>
        <v>5092.7723828413127</v>
      </c>
      <c r="F9" s="1323">
        <f>'12_BENEFICIOS'!AB9</f>
        <v>1088836270063.2808</v>
      </c>
      <c r="G9" s="1324">
        <f>'12_BENEFICIOS'!AC9</f>
        <v>0.11941045175903482</v>
      </c>
      <c r="H9" s="1325"/>
      <c r="I9" s="1326">
        <f t="shared" si="4"/>
        <v>55154948893.279762</v>
      </c>
      <c r="J9" s="1327">
        <f>'06_CARGAS'!W9</f>
        <v>7475265822.7276478</v>
      </c>
      <c r="K9" s="1328">
        <f t="shared" si="5"/>
        <v>62630214716.007408</v>
      </c>
      <c r="L9" s="1328">
        <f>'14_SIM_UF_INICIAL'!BH9</f>
        <v>185410658.23142055</v>
      </c>
      <c r="M9" s="1328">
        <f>'14_SIM_UF_INICIAL'!BK9</f>
        <v>1074694065.8313134</v>
      </c>
      <c r="N9" s="1328">
        <f t="shared" si="6"/>
        <v>2294445873.9604378</v>
      </c>
      <c r="O9" s="1329">
        <f t="shared" ref="O9:O15" si="18">SUM(L9:N9)</f>
        <v>3554550598.0231714</v>
      </c>
      <c r="P9" s="1364">
        <v>2</v>
      </c>
      <c r="Q9" s="1337">
        <f t="shared" si="7"/>
        <v>66184765314.030579</v>
      </c>
      <c r="R9" s="1145">
        <f t="shared" ref="R9:R15" si="19">F9</f>
        <v>1088836270063.2808</v>
      </c>
      <c r="S9" s="1360">
        <f t="shared" si="2"/>
        <v>16.451463790753326</v>
      </c>
      <c r="U9" s="1330">
        <f t="shared" ref="U9:U15" si="20">$S$7</f>
        <v>12.069509411131618</v>
      </c>
      <c r="V9" s="1331">
        <f t="shared" si="8"/>
        <v>798817647831.22949</v>
      </c>
      <c r="W9" s="1332">
        <f t="shared" si="9"/>
        <v>-290018622232.05127</v>
      </c>
      <c r="Y9" s="1313">
        <f t="shared" ref="Y9:Y15" si="21">$S$7</f>
        <v>12.069509411131618</v>
      </c>
      <c r="Z9" s="1147">
        <f t="shared" si="10"/>
        <v>90213796847.372711</v>
      </c>
      <c r="AA9" s="1333">
        <f t="shared" si="11"/>
        <v>24029031533.342133</v>
      </c>
      <c r="AB9" s="1334" t="str">
        <f t="shared" si="12"/>
        <v>ok</v>
      </c>
      <c r="AC9" s="1379">
        <v>2</v>
      </c>
      <c r="AD9" s="1337">
        <f t="shared" si="13"/>
        <v>55154948893.279762</v>
      </c>
      <c r="AE9" s="1337">
        <f t="shared" si="13"/>
        <v>7475265822.7276478</v>
      </c>
      <c r="AF9" s="1337">
        <f t="shared" si="14"/>
        <v>62630214716.007408</v>
      </c>
      <c r="AG9" s="1337">
        <v>0</v>
      </c>
      <c r="AH9" s="1337">
        <v>0</v>
      </c>
      <c r="AI9" s="1381"/>
      <c r="AJ9" s="1381">
        <f>Z9-AF9</f>
        <v>27583582131.365303</v>
      </c>
      <c r="AK9" s="1336">
        <f t="shared" ref="AK9:AK15" si="22">AJ9/$AJ$7</f>
        <v>0.36588884610026656</v>
      </c>
      <c r="AL9" s="1337">
        <f t="shared" ref="AL9:AL15" si="23">AK9*$AL$7</f>
        <v>14839159892.536135</v>
      </c>
      <c r="AM9" s="1337">
        <f t="shared" ref="AM9:AM15" si="24">AK9*$AM$7</f>
        <v>585422153.7604264</v>
      </c>
      <c r="AN9" s="1337">
        <f t="shared" ref="AN9:AN15" si="25">AK9*$AN$7</f>
        <v>3292999614.9023991</v>
      </c>
      <c r="AO9" s="1337">
        <f t="shared" ref="AO9:AO15" si="26">AK9*$AO$7</f>
        <v>8866000470.1663036</v>
      </c>
      <c r="AP9" s="1382">
        <f t="shared" ref="AP9:AP15" si="27">SUM(AM9:AO9)</f>
        <v>12744422238.829128</v>
      </c>
      <c r="AQ9" s="1382"/>
      <c r="AR9" s="1382"/>
      <c r="AS9" s="1382"/>
      <c r="AT9" s="1338">
        <f>SUM(AF9,AL9,AP9)</f>
        <v>90213796847.372681</v>
      </c>
      <c r="AU9" s="1390" t="str">
        <f t="shared" si="15"/>
        <v>ok</v>
      </c>
      <c r="AV9" s="1335"/>
      <c r="AW9" s="1203">
        <f t="shared" si="16"/>
        <v>1088836270063.2808</v>
      </c>
      <c r="AX9" s="1337">
        <f t="shared" ref="AX9:AX15" si="28">AT9</f>
        <v>90213796847.372681</v>
      </c>
      <c r="AY9" s="1373">
        <f t="shared" si="3"/>
        <v>12.069509411131621</v>
      </c>
      <c r="AZ9" s="916" t="str">
        <f t="shared" ref="AZ9:AZ15" si="29">IF(AY9=$S$7,"ok","error")</f>
        <v>ok</v>
      </c>
    </row>
    <row r="10" spans="1:52">
      <c r="A10" s="915">
        <v>3</v>
      </c>
      <c r="B10" s="1145">
        <f>'04c_Resumen_MO'!B8</f>
        <v>19436.47454042</v>
      </c>
      <c r="C10" s="1322">
        <f t="shared" si="17"/>
        <v>0.11795644169756005</v>
      </c>
      <c r="D10" s="1145">
        <f>'04c_Resumen_MO'!G8</f>
        <v>7359.10816158546</v>
      </c>
      <c r="E10" s="1145">
        <f>'04c_Resumen_MO'!I8</f>
        <v>5431.80275334625</v>
      </c>
      <c r="F10" s="1323">
        <f>'12_BENEFICIOS'!AB10</f>
        <v>1145849615774.2258</v>
      </c>
      <c r="G10" s="1324">
        <f>'12_BENEFICIOS'!AC10</f>
        <v>0.12566298903651027</v>
      </c>
      <c r="H10" s="1325"/>
      <c r="I10" s="1326">
        <f t="shared" si="4"/>
        <v>68707937500.384705</v>
      </c>
      <c r="J10" s="1327">
        <f>'06_CARGAS'!W10</f>
        <v>14389859310.805607</v>
      </c>
      <c r="K10" s="1328">
        <f t="shared" si="5"/>
        <v>83097796811.190308</v>
      </c>
      <c r="L10" s="1328">
        <f>'14_SIM_UF_INICIAL'!BH10</f>
        <v>197753610.05223072</v>
      </c>
      <c r="M10" s="1328">
        <f>'14_SIM_UF_INICIAL'!BK10</f>
        <v>1130966901.3285925</v>
      </c>
      <c r="N10" s="1328">
        <f t="shared" si="6"/>
        <v>2858250200.0160031</v>
      </c>
      <c r="O10" s="1329">
        <f t="shared" si="18"/>
        <v>4186970711.3968263</v>
      </c>
      <c r="P10" s="1364">
        <v>3</v>
      </c>
      <c r="Q10" s="1337">
        <f t="shared" si="7"/>
        <v>87284767522.587128</v>
      </c>
      <c r="R10" s="1145">
        <f t="shared" si="19"/>
        <v>1145849615774.2258</v>
      </c>
      <c r="S10" s="1360">
        <f t="shared" si="2"/>
        <v>13.127715732045782</v>
      </c>
      <c r="U10" s="1330">
        <f t="shared" si="20"/>
        <v>12.069509411131618</v>
      </c>
      <c r="V10" s="1331">
        <f t="shared" si="8"/>
        <v>1053484323062.3007</v>
      </c>
      <c r="W10" s="1332">
        <f t="shared" si="9"/>
        <v>-92365292711.925171</v>
      </c>
      <c r="Y10" s="1313">
        <f t="shared" si="21"/>
        <v>12.069509411131618</v>
      </c>
      <c r="Z10" s="1147">
        <f t="shared" si="10"/>
        <v>94937546899.579636</v>
      </c>
      <c r="AA10" s="1333">
        <f t="shared" si="11"/>
        <v>7652779376.9925079</v>
      </c>
      <c r="AB10" s="1334" t="str">
        <f t="shared" si="12"/>
        <v>ok</v>
      </c>
      <c r="AC10" s="1379">
        <v>3</v>
      </c>
      <c r="AD10" s="1337">
        <f t="shared" si="13"/>
        <v>68707937500.384705</v>
      </c>
      <c r="AE10" s="1337">
        <f t="shared" si="13"/>
        <v>14389859310.805607</v>
      </c>
      <c r="AF10" s="1337">
        <f t="shared" si="14"/>
        <v>83097796811.190308</v>
      </c>
      <c r="AG10" s="1337">
        <v>0</v>
      </c>
      <c r="AH10" s="1337">
        <v>0</v>
      </c>
      <c r="AI10" s="1381"/>
      <c r="AJ10" s="1381">
        <f>Z10-AF10</f>
        <v>11839750088.389328</v>
      </c>
      <c r="AK10" s="1336">
        <f t="shared" si="22"/>
        <v>0.15705112110984107</v>
      </c>
      <c r="AL10" s="1337">
        <f t="shared" si="23"/>
        <v>6369439031.252532</v>
      </c>
      <c r="AM10" s="1337">
        <f t="shared" si="24"/>
        <v>251281793.77574566</v>
      </c>
      <c r="AN10" s="1337">
        <f t="shared" si="25"/>
        <v>1413460089.9885697</v>
      </c>
      <c r="AO10" s="1337">
        <f t="shared" si="26"/>
        <v>3805569173.3724632</v>
      </c>
      <c r="AP10" s="1382">
        <f t="shared" si="27"/>
        <v>5470311057.1367788</v>
      </c>
      <c r="AQ10" s="1382"/>
      <c r="AR10" s="1382"/>
      <c r="AS10" s="1382"/>
      <c r="AT10" s="1338">
        <f>SUM(AF10,AL10,AP10)</f>
        <v>94937546899.57962</v>
      </c>
      <c r="AU10" s="1390" t="str">
        <f t="shared" si="15"/>
        <v>ok</v>
      </c>
      <c r="AV10" s="1335"/>
      <c r="AW10" s="1203">
        <f t="shared" si="16"/>
        <v>1145849615774.2258</v>
      </c>
      <c r="AX10" s="1337">
        <f t="shared" si="28"/>
        <v>94937546899.57962</v>
      </c>
      <c r="AY10" s="1373">
        <f t="shared" si="3"/>
        <v>12.069509411131621</v>
      </c>
      <c r="AZ10" s="916" t="str">
        <f t="shared" si="29"/>
        <v>ok</v>
      </c>
    </row>
    <row r="11" spans="1:52">
      <c r="A11" s="915">
        <v>4</v>
      </c>
      <c r="B11" s="1145">
        <f>'04c_Resumen_MO'!B9</f>
        <v>25621.213912839001</v>
      </c>
      <c r="C11" s="1322">
        <f t="shared" si="17"/>
        <v>0.15549050414701399</v>
      </c>
      <c r="D11" s="1145">
        <f>'04c_Resumen_MO'!G9</f>
        <v>10438.540650765779</v>
      </c>
      <c r="E11" s="1145">
        <f>'04c_Resumen_MO'!I9</f>
        <v>8133.4699118704657</v>
      </c>
      <c r="F11" s="1323">
        <f>'12_BENEFICIOS'!AB11</f>
        <v>1623529278190.0044</v>
      </c>
      <c r="G11" s="1324">
        <f>'12_BENEFICIOS'!AC11</f>
        <v>0.17804914281687279</v>
      </c>
      <c r="H11" s="1325"/>
      <c r="I11" s="1326">
        <f t="shared" si="4"/>
        <v>90570991181.885864</v>
      </c>
      <c r="J11" s="1327">
        <f>'06_CARGAS'!W11</f>
        <v>26087580305.507439</v>
      </c>
      <c r="K11" s="1328">
        <f t="shared" si="5"/>
        <v>116658571487.39331</v>
      </c>
      <c r="L11" s="1328">
        <f>'14_SIM_UF_INICIAL'!BH11</f>
        <v>296112195.22518885</v>
      </c>
      <c r="M11" s="1328">
        <f>'14_SIM_UF_INICIAL'!BK11</f>
        <v>1602442285.351855</v>
      </c>
      <c r="N11" s="1328">
        <f t="shared" si="6"/>
        <v>3767753233.1664515</v>
      </c>
      <c r="O11" s="1329">
        <f t="shared" si="18"/>
        <v>5666307713.7434959</v>
      </c>
      <c r="P11" s="1364">
        <v>4</v>
      </c>
      <c r="Q11" s="1337">
        <f t="shared" si="7"/>
        <v>122324879201.13681</v>
      </c>
      <c r="R11" s="1145">
        <f t="shared" si="19"/>
        <v>1623529278190.0044</v>
      </c>
      <c r="S11" s="1360">
        <f t="shared" si="2"/>
        <v>13.27227370909937</v>
      </c>
      <c r="U11" s="1330">
        <f t="shared" si="20"/>
        <v>12.069509411131618</v>
      </c>
      <c r="V11" s="1331">
        <f t="shared" si="8"/>
        <v>1476401280733.6589</v>
      </c>
      <c r="W11" s="1332">
        <f t="shared" si="9"/>
        <v>-147127997456.34546</v>
      </c>
      <c r="Y11" s="1313">
        <f t="shared" si="21"/>
        <v>12.069509411131618</v>
      </c>
      <c r="Z11" s="1147">
        <f t="shared" si="10"/>
        <v>134514935353.76306</v>
      </c>
      <c r="AA11" s="1333">
        <f t="shared" si="11"/>
        <v>12190056152.626251</v>
      </c>
      <c r="AB11" s="1334" t="str">
        <f t="shared" si="12"/>
        <v>ok</v>
      </c>
      <c r="AC11" s="1379">
        <v>4</v>
      </c>
      <c r="AD11" s="1337">
        <f t="shared" si="13"/>
        <v>90570991181.885864</v>
      </c>
      <c r="AE11" s="1337">
        <f t="shared" si="13"/>
        <v>26087580305.507439</v>
      </c>
      <c r="AF11" s="1337">
        <f t="shared" si="14"/>
        <v>116658571487.39331</v>
      </c>
      <c r="AG11" s="1337">
        <v>0</v>
      </c>
      <c r="AH11" s="1337">
        <v>0</v>
      </c>
      <c r="AI11" s="1381"/>
      <c r="AJ11" s="1381">
        <f>Z11-AF11</f>
        <v>17856363866.369751</v>
      </c>
      <c r="AK11" s="1336">
        <f t="shared" si="22"/>
        <v>0.23685989511794917</v>
      </c>
      <c r="AL11" s="1337">
        <f t="shared" si="23"/>
        <v>9606201154.3839359</v>
      </c>
      <c r="AM11" s="1337">
        <f t="shared" si="24"/>
        <v>378975832.18871862</v>
      </c>
      <c r="AN11" s="1337">
        <f t="shared" si="25"/>
        <v>2131739056.0615425</v>
      </c>
      <c r="AO11" s="1337">
        <f t="shared" si="26"/>
        <v>5739447823.735528</v>
      </c>
      <c r="AP11" s="1382">
        <f t="shared" si="27"/>
        <v>8250162711.9857893</v>
      </c>
      <c r="AQ11" s="1382"/>
      <c r="AR11" s="1382"/>
      <c r="AS11" s="1382"/>
      <c r="AT11" s="1338">
        <f>SUM(AF11,AL11,AP11)</f>
        <v>134514935353.76305</v>
      </c>
      <c r="AU11" s="1390" t="str">
        <f t="shared" si="15"/>
        <v>ok</v>
      </c>
      <c r="AV11" s="1335"/>
      <c r="AW11" s="1203">
        <f t="shared" si="16"/>
        <v>1623529278190.0044</v>
      </c>
      <c r="AX11" s="1337">
        <f t="shared" si="28"/>
        <v>134514935353.76305</v>
      </c>
      <c r="AY11" s="1373">
        <f t="shared" si="3"/>
        <v>12.069509411131619</v>
      </c>
      <c r="AZ11" s="916" t="str">
        <f t="shared" si="29"/>
        <v>ok</v>
      </c>
    </row>
    <row r="12" spans="1:52" ht="39.6">
      <c r="A12" s="915">
        <v>5</v>
      </c>
      <c r="B12" s="1145">
        <f>'04c_Resumen_MO'!B10</f>
        <v>27038.024665190002</v>
      </c>
      <c r="C12" s="1322">
        <f t="shared" si="17"/>
        <v>0.16408887184783447</v>
      </c>
      <c r="D12" s="1145">
        <f>'04c_Resumen_MO'!G10</f>
        <v>8082.1627811845974</v>
      </c>
      <c r="E12" s="1145">
        <f>'04c_Resumen_MO'!I10</f>
        <v>5998.1154100699305</v>
      </c>
      <c r="F12" s="1323">
        <f>'12_BENEFICIOS'!AB12</f>
        <v>1278660854584.7339</v>
      </c>
      <c r="G12" s="1324">
        <f>'12_BENEFICIOS'!AC12</f>
        <v>0.14022812657010669</v>
      </c>
      <c r="H12" s="1325"/>
      <c r="I12" s="1326">
        <f t="shared" si="4"/>
        <v>95579417191.446655</v>
      </c>
      <c r="J12" s="1327">
        <f>'06_CARGAS'!W12</f>
        <v>17284606713.641964</v>
      </c>
      <c r="K12" s="1328">
        <f t="shared" si="5"/>
        <v>112864023905.08862</v>
      </c>
      <c r="L12" s="1328">
        <f>'14_SIM_UF_INICIAL'!BH12</f>
        <v>218371143.00966111</v>
      </c>
      <c r="M12" s="1328">
        <f>'14_SIM_UF_INICIAL'!BK12</f>
        <v>1262053139.1309602</v>
      </c>
      <c r="N12" s="1328">
        <f t="shared" si="6"/>
        <v>3976103755.1641798</v>
      </c>
      <c r="O12" s="1329">
        <f t="shared" si="18"/>
        <v>5456528037.304801</v>
      </c>
      <c r="P12" s="1364">
        <v>5</v>
      </c>
      <c r="Q12" s="1337">
        <f t="shared" si="7"/>
        <v>118320551942.39342</v>
      </c>
      <c r="R12" s="1145">
        <f t="shared" si="19"/>
        <v>1278660854584.7339</v>
      </c>
      <c r="S12" s="1360">
        <f t="shared" si="2"/>
        <v>10.806751942868505</v>
      </c>
      <c r="U12" s="1330">
        <f t="shared" si="20"/>
        <v>12.069509411131618</v>
      </c>
      <c r="V12" s="1331">
        <f t="shared" si="8"/>
        <v>1428071015199.0046</v>
      </c>
      <c r="W12" s="1332">
        <f t="shared" si="9"/>
        <v>149410160614.27075</v>
      </c>
      <c r="Y12" s="1313">
        <f t="shared" si="21"/>
        <v>12.069509411131618</v>
      </c>
      <c r="Z12" s="1147">
        <f t="shared" si="10"/>
        <v>105941410792.17641</v>
      </c>
      <c r="AA12" s="1333">
        <f t="shared" si="11"/>
        <v>-12379141150.21701</v>
      </c>
      <c r="AB12" s="1334" t="str">
        <f t="shared" si="12"/>
        <v>ajustar</v>
      </c>
      <c r="AC12" s="1379">
        <v>5</v>
      </c>
      <c r="AD12" s="1337">
        <f t="shared" si="13"/>
        <v>95579417191.446655</v>
      </c>
      <c r="AE12" s="1337">
        <f t="shared" si="13"/>
        <v>17284606713.641964</v>
      </c>
      <c r="AF12" s="1337">
        <f t="shared" si="14"/>
        <v>112864023905.08862</v>
      </c>
      <c r="AG12" s="1337">
        <f t="shared" ref="AG12:AG14" si="30">Z12-AF12</f>
        <v>-6922613112.9122162</v>
      </c>
      <c r="AH12" s="1337">
        <f t="shared" ref="AH12:AH14" si="31">SUM(AF12:AG12)</f>
        <v>105941410792.17641</v>
      </c>
      <c r="AI12" s="1381" t="str">
        <f t="shared" ref="AI12:AI14" si="32">IF(Z12=AH12,"ok",0)</f>
        <v>ok</v>
      </c>
      <c r="AJ12" s="1381">
        <v>0</v>
      </c>
      <c r="AK12" s="1336">
        <f t="shared" si="22"/>
        <v>0</v>
      </c>
      <c r="AL12" s="1337">
        <f t="shared" si="23"/>
        <v>0</v>
      </c>
      <c r="AM12" s="1337">
        <f t="shared" si="24"/>
        <v>0</v>
      </c>
      <c r="AN12" s="1337">
        <f t="shared" si="25"/>
        <v>0</v>
      </c>
      <c r="AO12" s="1337">
        <f t="shared" si="26"/>
        <v>0</v>
      </c>
      <c r="AP12" s="1382">
        <f t="shared" si="27"/>
        <v>0</v>
      </c>
      <c r="AQ12" s="1382"/>
      <c r="AR12" s="1382"/>
      <c r="AS12" s="1382"/>
      <c r="AT12" s="1338">
        <f>AH12</f>
        <v>105941410792.17641</v>
      </c>
      <c r="AU12" s="1390" t="str">
        <f t="shared" si="15"/>
        <v>ok</v>
      </c>
      <c r="AV12" s="1335"/>
      <c r="AW12" s="1203">
        <f t="shared" si="16"/>
        <v>1278660854584.7339</v>
      </c>
      <c r="AX12" s="1337">
        <f t="shared" si="28"/>
        <v>105941410792.17641</v>
      </c>
      <c r="AY12" s="1373">
        <f t="shared" si="3"/>
        <v>12.069509411131618</v>
      </c>
      <c r="AZ12" s="916" t="str">
        <f t="shared" si="29"/>
        <v>ok</v>
      </c>
    </row>
    <row r="13" spans="1:52">
      <c r="A13" s="915">
        <v>6</v>
      </c>
      <c r="B13" s="1145">
        <f>'04c_Resumen_MO'!B11</f>
        <v>21089.89942655</v>
      </c>
      <c r="C13" s="1322">
        <f t="shared" si="17"/>
        <v>0.12799077769694617</v>
      </c>
      <c r="D13" s="1145">
        <f>'04c_Resumen_MO'!G11</f>
        <v>8585.5262072654805</v>
      </c>
      <c r="E13" s="1145">
        <f>'04c_Resumen_MO'!I11</f>
        <v>6680.3983195752862</v>
      </c>
      <c r="F13" s="1323">
        <f>'12_BENEFICIOS'!AB13</f>
        <v>1352625094608.8062</v>
      </c>
      <c r="G13" s="1324">
        <f>'12_BENEFICIOS'!AC13</f>
        <v>0.14833963383535867</v>
      </c>
      <c r="H13" s="1325"/>
      <c r="I13" s="1326">
        <f t="shared" si="4"/>
        <v>74552794472.854248</v>
      </c>
      <c r="J13" s="1327">
        <f>'06_CARGAS'!W13</f>
        <v>22591871946.130657</v>
      </c>
      <c r="K13" s="1328">
        <f t="shared" si="5"/>
        <v>97144666418.984909</v>
      </c>
      <c r="L13" s="1328">
        <f>'14_SIM_UF_INICIAL'!BH13</f>
        <v>243210761.55959904</v>
      </c>
      <c r="M13" s="1328">
        <f>'14_SIM_UF_INICIAL'!BK13</f>
        <v>1335056704.5182281</v>
      </c>
      <c r="N13" s="1328">
        <f t="shared" si="6"/>
        <v>3101396250.0707364</v>
      </c>
      <c r="O13" s="1329">
        <f t="shared" si="18"/>
        <v>4679663716.1485634</v>
      </c>
      <c r="P13" s="1364">
        <v>6</v>
      </c>
      <c r="Q13" s="1337">
        <f t="shared" si="7"/>
        <v>101824330135.13347</v>
      </c>
      <c r="R13" s="1145">
        <f t="shared" si="19"/>
        <v>1352625094608.8062</v>
      </c>
      <c r="S13" s="1360">
        <f t="shared" si="2"/>
        <v>13.283908598403794</v>
      </c>
      <c r="U13" s="1330">
        <f t="shared" si="20"/>
        <v>12.069509411131618</v>
      </c>
      <c r="V13" s="1331">
        <f t="shared" si="8"/>
        <v>1228969710848.1663</v>
      </c>
      <c r="W13" s="1332">
        <f t="shared" si="9"/>
        <v>-123655383760.63989</v>
      </c>
      <c r="Y13" s="1313">
        <f t="shared" si="21"/>
        <v>12.069509411131618</v>
      </c>
      <c r="Z13" s="1147">
        <f t="shared" si="10"/>
        <v>112069600224.28835</v>
      </c>
      <c r="AA13" s="1333">
        <f t="shared" si="11"/>
        <v>10245270089.154877</v>
      </c>
      <c r="AB13" s="1334" t="str">
        <f t="shared" si="12"/>
        <v>ok</v>
      </c>
      <c r="AC13" s="1379">
        <v>6</v>
      </c>
      <c r="AD13" s="1337">
        <f t="shared" si="13"/>
        <v>74552794472.854248</v>
      </c>
      <c r="AE13" s="1337">
        <f t="shared" si="13"/>
        <v>22591871946.130657</v>
      </c>
      <c r="AF13" s="1337">
        <f t="shared" si="14"/>
        <v>97144666418.984909</v>
      </c>
      <c r="AG13" s="1337">
        <v>0</v>
      </c>
      <c r="AH13" s="1337">
        <v>0</v>
      </c>
      <c r="AI13" s="1381"/>
      <c r="AJ13" s="1381">
        <f>Z13-AF13</f>
        <v>14924933805.303436</v>
      </c>
      <c r="AK13" s="1336">
        <f t="shared" si="22"/>
        <v>0.19797525869331456</v>
      </c>
      <c r="AL13" s="1337">
        <f t="shared" si="23"/>
        <v>8029177576.272006</v>
      </c>
      <c r="AM13" s="1337">
        <f t="shared" si="24"/>
        <v>316760413.90930325</v>
      </c>
      <c r="AN13" s="1337">
        <f t="shared" si="25"/>
        <v>1781777328.239831</v>
      </c>
      <c r="AO13" s="1337">
        <f t="shared" si="26"/>
        <v>4797218486.8822746</v>
      </c>
      <c r="AP13" s="1382">
        <f t="shared" si="27"/>
        <v>6895756229.0314083</v>
      </c>
      <c r="AQ13" s="1382"/>
      <c r="AR13" s="1382"/>
      <c r="AS13" s="1382"/>
      <c r="AT13" s="1338">
        <f>SUM(AF13,AL13,AP13)</f>
        <v>112069600224.28831</v>
      </c>
      <c r="AU13" s="1390" t="str">
        <f t="shared" si="15"/>
        <v>ok</v>
      </c>
      <c r="AV13" s="1335"/>
      <c r="AW13" s="1203">
        <f t="shared" si="16"/>
        <v>1352625094608.8062</v>
      </c>
      <c r="AX13" s="1337">
        <f t="shared" si="28"/>
        <v>112069600224.28831</v>
      </c>
      <c r="AY13" s="1373">
        <f t="shared" si="3"/>
        <v>12.069509411131619</v>
      </c>
      <c r="AZ13" s="916" t="str">
        <f t="shared" si="29"/>
        <v>ok</v>
      </c>
    </row>
    <row r="14" spans="1:52" ht="39.6">
      <c r="A14" s="915">
        <v>7</v>
      </c>
      <c r="B14" s="1145">
        <f>'04c_Resumen_MO'!B12</f>
        <v>23967.619699999999</v>
      </c>
      <c r="C14" s="1322">
        <f t="shared" si="17"/>
        <v>0.14545514053451641</v>
      </c>
      <c r="D14" s="1145">
        <f>'04c_Resumen_MO'!G12</f>
        <v>7248.8624195173397</v>
      </c>
      <c r="E14" s="1145">
        <f>'04c_Resumen_MO'!I12</f>
        <v>6265.2010167113922</v>
      </c>
      <c r="F14" s="1323">
        <f>'12_BENEFICIOS'!AB14</f>
        <v>898765653478.21167</v>
      </c>
      <c r="G14" s="1324">
        <f>'12_BENEFICIOS'!AC14</f>
        <v>9.8565795113621707E-2</v>
      </c>
      <c r="H14" s="1325"/>
      <c r="I14" s="1326">
        <f t="shared" si="4"/>
        <v>84725535639.5</v>
      </c>
      <c r="J14" s="1327">
        <f>'06_CARGAS'!W14</f>
        <v>17439703666.18576</v>
      </c>
      <c r="K14" s="1328">
        <f t="shared" si="5"/>
        <v>102165239305.68576</v>
      </c>
      <c r="L14" s="1328">
        <f>'14_SIM_UF_INICIAL'!BH14</f>
        <v>228094828.7369827</v>
      </c>
      <c r="M14" s="1328">
        <f>'14_SIM_UF_INICIAL'!BK14</f>
        <v>887092156.02259541</v>
      </c>
      <c r="N14" s="1328">
        <f t="shared" si="6"/>
        <v>3524582282.603199</v>
      </c>
      <c r="O14" s="1329">
        <f t="shared" si="18"/>
        <v>4639769267.3627777</v>
      </c>
      <c r="P14" s="1364">
        <v>7</v>
      </c>
      <c r="Q14" s="1337">
        <f t="shared" si="7"/>
        <v>106805008573.04854</v>
      </c>
      <c r="R14" s="1145">
        <f t="shared" si="19"/>
        <v>898765653478.21167</v>
      </c>
      <c r="S14" s="1360">
        <f t="shared" si="2"/>
        <v>8.4150141036083266</v>
      </c>
      <c r="U14" s="1330">
        <f t="shared" si="20"/>
        <v>12.069509411131618</v>
      </c>
      <c r="V14" s="1331">
        <f t="shared" si="8"/>
        <v>1289084056128.4023</v>
      </c>
      <c r="W14" s="1332">
        <f t="shared" si="9"/>
        <v>390318402650.19067</v>
      </c>
      <c r="Y14" s="1313">
        <f t="shared" si="21"/>
        <v>12.069509411131618</v>
      </c>
      <c r="Z14" s="1147">
        <f t="shared" si="10"/>
        <v>74465798307.368393</v>
      </c>
      <c r="AA14" s="1333">
        <f t="shared" si="11"/>
        <v>-32339210265.680145</v>
      </c>
      <c r="AB14" s="1334" t="str">
        <f t="shared" si="12"/>
        <v>ajustar</v>
      </c>
      <c r="AC14" s="1379">
        <v>7</v>
      </c>
      <c r="AD14" s="1337">
        <f t="shared" si="13"/>
        <v>84725535639.5</v>
      </c>
      <c r="AE14" s="1337">
        <f t="shared" si="13"/>
        <v>17439703666.18576</v>
      </c>
      <c r="AF14" s="1337">
        <f t="shared" si="14"/>
        <v>102165239305.68576</v>
      </c>
      <c r="AG14" s="1337">
        <f t="shared" si="30"/>
        <v>-27699440998.317368</v>
      </c>
      <c r="AH14" s="1337">
        <f t="shared" si="31"/>
        <v>74465798307.368393</v>
      </c>
      <c r="AI14" s="1381" t="str">
        <f t="shared" si="32"/>
        <v>ok</v>
      </c>
      <c r="AJ14" s="1381">
        <v>0</v>
      </c>
      <c r="AK14" s="1336">
        <f t="shared" si="22"/>
        <v>0</v>
      </c>
      <c r="AL14" s="1337">
        <f t="shared" si="23"/>
        <v>0</v>
      </c>
      <c r="AM14" s="1337">
        <f t="shared" si="24"/>
        <v>0</v>
      </c>
      <c r="AN14" s="1337">
        <f t="shared" si="25"/>
        <v>0</v>
      </c>
      <c r="AO14" s="1337">
        <f t="shared" si="26"/>
        <v>0</v>
      </c>
      <c r="AP14" s="1382">
        <f t="shared" si="27"/>
        <v>0</v>
      </c>
      <c r="AQ14" s="1382"/>
      <c r="AR14" s="1382"/>
      <c r="AS14" s="1382"/>
      <c r="AT14" s="1338">
        <f>AH14</f>
        <v>74465798307.368393</v>
      </c>
      <c r="AU14" s="1390" t="str">
        <f t="shared" si="15"/>
        <v>ok</v>
      </c>
      <c r="AV14" s="1335"/>
      <c r="AW14" s="1203">
        <f t="shared" si="16"/>
        <v>898765653478.21167</v>
      </c>
      <c r="AX14" s="1337">
        <f t="shared" si="28"/>
        <v>74465798307.368393</v>
      </c>
      <c r="AY14" s="1373">
        <f t="shared" si="3"/>
        <v>12.069509411131618</v>
      </c>
      <c r="AZ14" s="916" t="str">
        <f t="shared" si="29"/>
        <v>ok</v>
      </c>
    </row>
    <row r="15" spans="1:52" ht="13.9" thickBot="1">
      <c r="A15" s="1340">
        <v>8</v>
      </c>
      <c r="B15" s="1207">
        <f>'04c_Resumen_MO'!B13</f>
        <v>14752.6990159</v>
      </c>
      <c r="C15" s="1341">
        <f t="shared" si="17"/>
        <v>8.9531456835538689E-2</v>
      </c>
      <c r="D15" s="1207">
        <f>'04c_Resumen_MO'!G13</f>
        <v>4780.4156503677968</v>
      </c>
      <c r="E15" s="1207">
        <f>'04c_Resumen_MO'!I13</f>
        <v>3425.1479890293858</v>
      </c>
      <c r="F15" s="1342">
        <f>'12_BENEFICIOS'!AB15</f>
        <v>819802335906.16187</v>
      </c>
      <c r="G15" s="1343">
        <f>'12_BENEFICIOS'!AC15</f>
        <v>8.9906049215257577E-2</v>
      </c>
      <c r="H15" s="1325"/>
      <c r="I15" s="1344">
        <f t="shared" si="4"/>
        <v>52150791021.206497</v>
      </c>
      <c r="J15" s="1345">
        <f>'06_CARGAS'!W15</f>
        <v>12589383392.232136</v>
      </c>
      <c r="K15" s="1346">
        <f t="shared" si="5"/>
        <v>64740174413.438629</v>
      </c>
      <c r="L15" s="1346">
        <f>'14_SIM_UF_INICIAL'!BH15</f>
        <v>124698081.01489478</v>
      </c>
      <c r="M15" s="1346">
        <f>'14_SIM_UF_INICIAL'!BK15</f>
        <v>809154442.93731821</v>
      </c>
      <c r="N15" s="1346">
        <f t="shared" si="6"/>
        <v>2169472906.4821901</v>
      </c>
      <c r="O15" s="1347">
        <f t="shared" si="18"/>
        <v>3103325430.4344034</v>
      </c>
      <c r="P15" s="1365">
        <v>8</v>
      </c>
      <c r="Q15" s="1366">
        <f t="shared" si="7"/>
        <v>67843499843.873032</v>
      </c>
      <c r="R15" s="1367">
        <f t="shared" si="19"/>
        <v>819802335906.16187</v>
      </c>
      <c r="S15" s="1368">
        <f t="shared" si="2"/>
        <v>12.083727074705131</v>
      </c>
      <c r="U15" s="1348">
        <f t="shared" si="20"/>
        <v>12.069509411131618</v>
      </c>
      <c r="V15" s="1349">
        <f t="shared" si="8"/>
        <v>818837759849.73193</v>
      </c>
      <c r="W15" s="1350">
        <f t="shared" si="9"/>
        <v>-964576056.42993164</v>
      </c>
      <c r="Y15" s="1351">
        <f t="shared" si="21"/>
        <v>12.069509411131618</v>
      </c>
      <c r="Z15" s="1352">
        <f t="shared" si="10"/>
        <v>67923418258.414406</v>
      </c>
      <c r="AA15" s="1353">
        <f t="shared" si="11"/>
        <v>79918414.541374207</v>
      </c>
      <c r="AB15" s="1334" t="str">
        <f t="shared" si="12"/>
        <v>ok</v>
      </c>
      <c r="AC15" s="1380">
        <v>8</v>
      </c>
      <c r="AD15" s="1355">
        <f t="shared" si="13"/>
        <v>52150791021.206497</v>
      </c>
      <c r="AE15" s="1355">
        <f t="shared" si="13"/>
        <v>12589383392.232136</v>
      </c>
      <c r="AF15" s="1355">
        <f t="shared" si="14"/>
        <v>64740174413.438629</v>
      </c>
      <c r="AG15" s="1355">
        <v>0</v>
      </c>
      <c r="AH15" s="1355">
        <v>0</v>
      </c>
      <c r="AI15" s="1385"/>
      <c r="AJ15" s="1385">
        <f>Z15-AF15</f>
        <v>3183243844.9757767</v>
      </c>
      <c r="AK15" s="1354">
        <f t="shared" si="22"/>
        <v>4.2224878978628616E-2</v>
      </c>
      <c r="AL15" s="1355">
        <f t="shared" si="23"/>
        <v>1712492023.9715431</v>
      </c>
      <c r="AM15" s="1355">
        <f t="shared" si="24"/>
        <v>67559806.365805775</v>
      </c>
      <c r="AN15" s="1355">
        <f t="shared" si="25"/>
        <v>380023910.80765754</v>
      </c>
      <c r="AO15" s="1355">
        <f t="shared" si="26"/>
        <v>1023168103.8307656</v>
      </c>
      <c r="AP15" s="1386">
        <f t="shared" si="27"/>
        <v>1470751821.0042291</v>
      </c>
      <c r="AQ15" s="1386"/>
      <c r="AR15" s="1386"/>
      <c r="AS15" s="1386"/>
      <c r="AT15" s="1356">
        <f>SUM(AF15,AL15,AP15)</f>
        <v>67923418258.414398</v>
      </c>
      <c r="AU15" s="1391" t="str">
        <f t="shared" si="15"/>
        <v>ok</v>
      </c>
      <c r="AV15" s="1335"/>
      <c r="AW15" s="1205">
        <f t="shared" si="16"/>
        <v>819802335906.16187</v>
      </c>
      <c r="AX15" s="1355">
        <f t="shared" si="28"/>
        <v>67923418258.414398</v>
      </c>
      <c r="AY15" s="1376">
        <f t="shared" si="3"/>
        <v>12.069509411131619</v>
      </c>
      <c r="AZ15" s="1377" t="str">
        <f t="shared" si="29"/>
        <v>ok</v>
      </c>
    </row>
    <row r="16" spans="1:52">
      <c r="AP16" s="1339"/>
    </row>
    <row r="17" spans="31:51">
      <c r="AE17" s="1317"/>
      <c r="AF17" s="1317"/>
      <c r="AG17" s="1317"/>
      <c r="AH17" s="1317"/>
      <c r="AI17" s="1317"/>
      <c r="AJ17" s="1316"/>
      <c r="AK17" s="1316"/>
      <c r="AL17" s="1317"/>
      <c r="AM17" s="1317"/>
      <c r="AN17" s="1317"/>
      <c r="AO17" s="1317"/>
      <c r="AP17" s="1321"/>
      <c r="AQ17" s="1321"/>
      <c r="AR17" s="1321"/>
      <c r="AS17" s="1321"/>
      <c r="AT17" s="1321"/>
      <c r="AU17" s="1321"/>
      <c r="AV17" s="1317"/>
      <c r="AW17" s="1317"/>
      <c r="AX17" s="1317"/>
      <c r="AY17" s="1317"/>
    </row>
    <row r="18" spans="31:51">
      <c r="AE18" s="1335"/>
      <c r="AF18" s="1317"/>
      <c r="AG18" s="1335"/>
      <c r="AH18" s="1335"/>
      <c r="AI18" s="1335"/>
      <c r="AJ18" s="1334"/>
      <c r="AK18" s="1334"/>
      <c r="AL18" s="1335"/>
      <c r="AM18" s="1335"/>
      <c r="AN18" s="1335"/>
      <c r="AO18" s="1335"/>
      <c r="AP18" s="1339"/>
      <c r="AQ18" s="1339"/>
      <c r="AR18" s="1339"/>
      <c r="AS18" s="1339"/>
      <c r="AT18" s="1339"/>
      <c r="AU18" s="1339"/>
      <c r="AV18" s="1335"/>
      <c r="AW18" s="1335"/>
      <c r="AX18" s="1335"/>
      <c r="AY18" s="1335"/>
    </row>
    <row r="19" spans="31:51">
      <c r="AE19" s="1335"/>
      <c r="AF19" s="1335"/>
      <c r="AG19" s="1335"/>
      <c r="AH19" s="1335"/>
      <c r="AI19" s="1335"/>
      <c r="AJ19" s="1334"/>
      <c r="AK19" s="1334"/>
      <c r="AL19" s="1335"/>
      <c r="AM19" s="1335"/>
      <c r="AN19" s="1335"/>
      <c r="AO19" s="1335"/>
      <c r="AP19" s="1339"/>
      <c r="AQ19" s="1339"/>
      <c r="AR19" s="1339"/>
      <c r="AS19" s="1339"/>
      <c r="AT19" s="1339"/>
      <c r="AU19" s="1339"/>
      <c r="AV19" s="1335"/>
      <c r="AW19" s="1335"/>
      <c r="AX19" s="1335"/>
      <c r="AY19" s="1335"/>
    </row>
    <row r="20" spans="31:51">
      <c r="AE20" s="1335"/>
      <c r="AF20" s="1335"/>
      <c r="AG20" s="1335"/>
      <c r="AH20" s="1335"/>
      <c r="AI20" s="1335"/>
      <c r="AJ20" s="1334"/>
      <c r="AK20" s="1334"/>
      <c r="AL20" s="1335"/>
      <c r="AM20" s="1335"/>
      <c r="AN20" s="1335"/>
      <c r="AO20" s="1335"/>
      <c r="AP20" s="1339"/>
      <c r="AQ20" s="1339"/>
      <c r="AR20" s="1339"/>
      <c r="AS20" s="1339"/>
      <c r="AT20" s="1339"/>
      <c r="AU20" s="1339"/>
      <c r="AV20" s="1335"/>
      <c r="AW20" s="1335"/>
      <c r="AX20" s="1335"/>
      <c r="AY20" s="1335"/>
    </row>
    <row r="21" spans="31:51">
      <c r="AE21" s="1335"/>
      <c r="AF21" s="1335"/>
      <c r="AG21" s="1335"/>
      <c r="AH21" s="1335"/>
      <c r="AI21" s="1335"/>
      <c r="AJ21" s="1334"/>
      <c r="AK21" s="1334"/>
      <c r="AL21" s="1335"/>
      <c r="AM21" s="1335"/>
      <c r="AN21" s="1335"/>
      <c r="AO21" s="1335"/>
      <c r="AP21" s="1339"/>
      <c r="AQ21" s="1339"/>
      <c r="AR21" s="1339"/>
      <c r="AS21" s="1339"/>
      <c r="AT21" s="1339"/>
      <c r="AU21" s="1339"/>
      <c r="AV21" s="1335"/>
      <c r="AW21" s="1335"/>
      <c r="AX21" s="1335"/>
      <c r="AY21" s="1335"/>
    </row>
    <row r="22" spans="31:51">
      <c r="AF22" s="1335"/>
      <c r="AG22" s="1335"/>
      <c r="AH22" s="1335"/>
      <c r="AI22" s="1335"/>
      <c r="AJ22" s="1334"/>
      <c r="AK22" s="1334"/>
      <c r="AL22" s="1335"/>
      <c r="AM22" s="1335"/>
      <c r="AN22" s="1335"/>
      <c r="AO22" s="1335"/>
      <c r="AP22" s="1339"/>
      <c r="AQ22" s="1339"/>
      <c r="AR22" s="1339"/>
      <c r="AS22" s="1339"/>
      <c r="AT22" s="1339"/>
      <c r="AU22" s="1339"/>
      <c r="AV22" s="1335"/>
      <c r="AW22" s="1335"/>
      <c r="AX22" s="1335"/>
      <c r="AY22" s="1335"/>
    </row>
    <row r="23" spans="31:51">
      <c r="AF23" s="1335"/>
      <c r="AG23" s="1335"/>
      <c r="AH23" s="1335"/>
      <c r="AI23" s="1335"/>
      <c r="AJ23" s="1334"/>
      <c r="AK23" s="1334"/>
      <c r="AL23" s="1335"/>
      <c r="AM23" s="1335"/>
      <c r="AN23" s="1335"/>
      <c r="AO23" s="1335"/>
      <c r="AP23" s="1339"/>
      <c r="AQ23" s="1339"/>
      <c r="AR23" s="1339"/>
      <c r="AS23" s="1339"/>
      <c r="AT23" s="1339"/>
      <c r="AU23" s="1339"/>
      <c r="AV23" s="1335"/>
      <c r="AW23" s="1335"/>
      <c r="AX23" s="1335"/>
      <c r="AY23" s="1335"/>
    </row>
    <row r="24" spans="31:51">
      <c r="AF24" s="1335"/>
      <c r="AG24" s="1335"/>
      <c r="AH24" s="1335"/>
      <c r="AI24" s="1335"/>
      <c r="AJ24" s="1334"/>
      <c r="AK24" s="1334"/>
      <c r="AL24" s="1335"/>
      <c r="AM24" s="1335"/>
      <c r="AN24" s="1335"/>
      <c r="AO24" s="1335"/>
      <c r="AP24" s="1339"/>
      <c r="AQ24" s="1339"/>
      <c r="AR24" s="1339"/>
      <c r="AS24" s="1339"/>
      <c r="AT24" s="1339"/>
      <c r="AU24" s="1339"/>
      <c r="AV24" s="1335"/>
      <c r="AW24" s="1335"/>
      <c r="AX24" s="1335"/>
      <c r="AY24" s="1335"/>
    </row>
    <row r="25" spans="31:51">
      <c r="AF25" s="1335"/>
      <c r="AG25" s="1335"/>
      <c r="AH25" s="1335"/>
      <c r="AI25" s="1335"/>
      <c r="AJ25" s="1334"/>
      <c r="AK25" s="1334"/>
      <c r="AL25" s="1335"/>
      <c r="AM25" s="1335"/>
      <c r="AN25" s="1335"/>
      <c r="AO25" s="1335"/>
      <c r="AP25" s="1339"/>
      <c r="AQ25" s="1339"/>
      <c r="AR25" s="1339"/>
      <c r="AS25" s="1339"/>
      <c r="AT25" s="1339"/>
      <c r="AU25" s="1339"/>
      <c r="AV25" s="1335"/>
      <c r="AW25" s="1335"/>
      <c r="AX25" s="1335"/>
      <c r="AY25" s="1335"/>
    </row>
    <row r="26" spans="31:51">
      <c r="AF26" s="1335"/>
    </row>
    <row r="27" spans="31:51">
      <c r="AF27" s="1335"/>
    </row>
  </sheetData>
  <mergeCells count="22">
    <mergeCell ref="AC2:AC3"/>
    <mergeCell ref="AD2:AG2"/>
    <mergeCell ref="AM2:AP2"/>
    <mergeCell ref="AJ1:AP1"/>
    <mergeCell ref="AJ2:AJ3"/>
    <mergeCell ref="AK2:AK3"/>
    <mergeCell ref="AT1:AT3"/>
    <mergeCell ref="AU1:AU3"/>
    <mergeCell ref="A1:A3"/>
    <mergeCell ref="S2:S3"/>
    <mergeCell ref="B1:C3"/>
    <mergeCell ref="F1:G3"/>
    <mergeCell ref="D1:D3"/>
    <mergeCell ref="E1:E3"/>
    <mergeCell ref="Q2:Q3"/>
    <mergeCell ref="I2:K2"/>
    <mergeCell ref="L2:O2"/>
    <mergeCell ref="U2:W2"/>
    <mergeCell ref="Y2:AA2"/>
    <mergeCell ref="R2:R3"/>
    <mergeCell ref="P2:P3"/>
    <mergeCell ref="AC1:AG1"/>
  </mergeCells>
  <conditionalFormatting sqref="S8:S15">
    <cfRule type="cellIs" dxfId="6" priority="16" operator="greaterThan">
      <formula>$S$7</formula>
    </cfRule>
    <cfRule type="cellIs" dxfId="5" priority="17" operator="lessThan">
      <formula>$S$7</formula>
    </cfRule>
  </conditionalFormatting>
  <conditionalFormatting sqref="AB8:AC15">
    <cfRule type="cellIs" dxfId="4" priority="22" operator="equal">
      <formula>"ok"</formula>
    </cfRule>
    <cfRule type="cellIs" dxfId="3" priority="23" operator="equal">
      <formula>"ajustar"</formula>
    </cfRule>
  </conditionalFormatting>
  <conditionalFormatting sqref="AU8:AU15">
    <cfRule type="cellIs" dxfId="2" priority="2" operator="equal">
      <formula>"error"</formula>
    </cfRule>
    <cfRule type="cellIs" dxfId="1" priority="3" operator="equal">
      <formula>"ok"</formula>
    </cfRule>
  </conditionalFormatting>
  <conditionalFormatting sqref="AZ8:AZ15">
    <cfRule type="cellIs" dxfId="0" priority="1" operator="equal">
      <formula>"ok"</formula>
    </cfRule>
  </conditionalFormatting>
  <pageMargins left="0.7" right="0.7" top="0.75" bottom="0.75" header="0.3" footer="0.3"/>
  <ignoredErrors>
    <ignoredError sqref="N7 AG8 AG12 AG14 AT12:AT14" formula="1"/>
  </ignoredError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16868-18F6-477D-8300-367AEE61E533}">
  <sheetPr>
    <tabColor rgb="FF00B0F0"/>
  </sheetPr>
  <dimension ref="A1:CP22"/>
  <sheetViews>
    <sheetView zoomScale="130" zoomScaleNormal="130" workbookViewId="0">
      <pane xSplit="1" ySplit="8" topLeftCell="B12" activePane="bottomRight" state="frozen"/>
      <selection pane="bottomRight" activeCell="BN8" sqref="BN8"/>
      <selection pane="bottomLeft" activeCell="A7" sqref="A7"/>
      <selection pane="topRight" activeCell="B1" sqref="B1"/>
    </sheetView>
  </sheetViews>
  <sheetFormatPr defaultColWidth="11.375" defaultRowHeight="13.15"/>
  <cols>
    <col min="1" max="1" width="4.875" style="910" bestFit="1" customWidth="1"/>
    <col min="2" max="2" width="13.125" style="903" bestFit="1" customWidth="1"/>
    <col min="3" max="3" width="13.125" style="903" customWidth="1"/>
    <col min="4" max="4" width="17.75" style="903" bestFit="1" customWidth="1"/>
    <col min="5" max="5" width="12" style="903" bestFit="1" customWidth="1"/>
    <col min="6" max="6" width="15" style="903" bestFit="1" customWidth="1"/>
    <col min="7" max="7" width="12" style="903" bestFit="1" customWidth="1"/>
    <col min="8" max="8" width="15.125" style="903" customWidth="1"/>
    <col min="9" max="9" width="10.875" style="903" bestFit="1" customWidth="1"/>
    <col min="10" max="10" width="14.25" style="903" customWidth="1"/>
    <col min="11" max="11" width="12" style="903" bestFit="1" customWidth="1"/>
    <col min="12" max="12" width="21.375" style="903" bestFit="1" customWidth="1"/>
    <col min="13" max="13" width="12" style="903" bestFit="1" customWidth="1"/>
    <col min="14" max="14" width="21.375" style="903" bestFit="1" customWidth="1"/>
    <col min="15" max="15" width="16.75" style="903" bestFit="1" customWidth="1"/>
    <col min="16" max="16" width="15" style="903" bestFit="1" customWidth="1"/>
    <col min="17" max="17" width="9.375" style="903" bestFit="1" customWidth="1"/>
    <col min="18" max="18" width="19.75" style="903" bestFit="1" customWidth="1"/>
    <col min="19" max="19" width="21" style="903" bestFit="1" customWidth="1"/>
    <col min="20" max="20" width="18.625" style="903" bestFit="1" customWidth="1"/>
    <col min="21" max="21" width="20.375" style="903" bestFit="1" customWidth="1"/>
    <col min="22" max="22" width="22" style="903" bestFit="1" customWidth="1"/>
    <col min="23" max="23" width="21.75" style="903" bestFit="1" customWidth="1"/>
    <col min="24" max="24" width="19.75" style="903" bestFit="1" customWidth="1"/>
    <col min="25" max="25" width="21.625" style="903" bestFit="1" customWidth="1"/>
    <col min="26" max="26" width="22" style="903" bestFit="1" customWidth="1"/>
    <col min="27" max="27" width="19.75" style="903" bestFit="1" customWidth="1"/>
    <col min="28" max="28" width="29.625" style="903" bestFit="1" customWidth="1"/>
    <col min="29" max="29" width="5.375" style="1149" bestFit="1" customWidth="1"/>
    <col min="30" max="30" width="4" style="903" customWidth="1"/>
    <col min="31" max="31" width="14.75" style="903" bestFit="1" customWidth="1"/>
    <col min="32" max="32" width="16" style="903" customWidth="1"/>
    <col min="33" max="33" width="14" style="903" bestFit="1" customWidth="1"/>
    <col min="34" max="34" width="19.75" style="903" bestFit="1" customWidth="1"/>
    <col min="35" max="35" width="18.875" style="903" bestFit="1" customWidth="1"/>
    <col min="36" max="36" width="13" style="903" bestFit="1" customWidth="1"/>
    <col min="37" max="37" width="11.875" style="903" bestFit="1" customWidth="1"/>
    <col min="38" max="38" width="13.625" style="903" bestFit="1" customWidth="1"/>
    <col min="39" max="39" width="14.875" style="903" bestFit="1" customWidth="1"/>
    <col min="40" max="41" width="16.25" style="903" customWidth="1"/>
    <col min="42" max="42" width="14.875" style="903" bestFit="1" customWidth="1"/>
    <col min="43" max="43" width="14.875" style="903" customWidth="1"/>
    <col min="44" max="44" width="11.375" style="903"/>
    <col min="45" max="46" width="20.25" style="903" bestFit="1" customWidth="1"/>
    <col min="47" max="47" width="19.125" style="903" bestFit="1" customWidth="1"/>
    <col min="48" max="51" width="21.625" style="903" bestFit="1" customWidth="1"/>
    <col min="52" max="53" width="23.375" style="903" bestFit="1" customWidth="1"/>
    <col min="54" max="54" width="21.625" style="903" bestFit="1" customWidth="1"/>
    <col min="55" max="55" width="20.25" style="903" bestFit="1" customWidth="1"/>
    <col min="56" max="56" width="20.25" style="903" customWidth="1"/>
    <col min="57" max="57" width="24" style="903" bestFit="1" customWidth="1"/>
    <col min="58" max="58" width="6.75" style="903" bestFit="1" customWidth="1"/>
    <col min="59" max="59" width="3.375" style="903" customWidth="1"/>
    <col min="60" max="60" width="21.625" style="903" bestFit="1" customWidth="1"/>
    <col min="61" max="61" width="18.375" style="903" bestFit="1" customWidth="1"/>
    <col min="62" max="62" width="18.625" style="903" bestFit="1" customWidth="1"/>
    <col min="63" max="63" width="17.25" style="903" bestFit="1" customWidth="1"/>
    <col min="64" max="64" width="17.625" style="903" bestFit="1" customWidth="1"/>
    <col min="65" max="65" width="21.625" style="903" bestFit="1" customWidth="1"/>
    <col min="66" max="69" width="21.625" style="903" customWidth="1"/>
    <col min="70" max="70" width="22.125" style="903" bestFit="1" customWidth="1"/>
    <col min="71" max="71" width="4.875" style="903" bestFit="1" customWidth="1"/>
    <col min="72" max="72" width="4.375" style="903" customWidth="1"/>
    <col min="73" max="73" width="24.625" style="903" bestFit="1" customWidth="1"/>
    <col min="74" max="74" width="5.25" style="903" customWidth="1"/>
    <col min="75" max="75" width="17.25" style="903" bestFit="1" customWidth="1"/>
    <col min="76" max="76" width="17.625" style="903" bestFit="1" customWidth="1"/>
    <col min="77" max="77" width="16.625" style="903" bestFit="1" customWidth="1"/>
    <col min="78" max="80" width="17.625" style="903" bestFit="1" customWidth="1"/>
    <col min="81" max="81" width="17.25" style="903" bestFit="1" customWidth="1"/>
    <col min="82" max="82" width="18.625" style="903" bestFit="1" customWidth="1"/>
    <col min="83" max="83" width="20.25" style="903" bestFit="1" customWidth="1"/>
    <col min="84" max="84" width="11.375" style="1150"/>
    <col min="85" max="85" width="3" style="903" customWidth="1"/>
    <col min="86" max="86" width="20.25" style="903" bestFit="1" customWidth="1"/>
    <col min="87" max="87" width="4.875" style="903" bestFit="1" customWidth="1"/>
    <col min="88" max="88" width="4.25" style="903" customWidth="1"/>
    <col min="89" max="89" width="11.375" style="903"/>
    <col min="90" max="90" width="22.125" style="903" bestFit="1" customWidth="1"/>
    <col min="91" max="91" width="13.875" style="903" bestFit="1" customWidth="1"/>
    <col min="92" max="92" width="4.875" style="903" customWidth="1"/>
    <col min="93" max="93" width="13.875" style="903" bestFit="1" customWidth="1"/>
    <col min="94" max="94" width="11.375" style="903"/>
    <col min="95" max="95" width="8" style="903" customWidth="1"/>
    <col min="96" max="16384" width="11.375" style="903"/>
  </cols>
  <sheetData>
    <row r="1" spans="1:94" s="917" customFormat="1" ht="15" customHeight="1">
      <c r="A1" s="1721" t="s">
        <v>247</v>
      </c>
      <c r="B1" s="1639" t="s">
        <v>575</v>
      </c>
      <c r="C1" s="1723" t="s">
        <v>540</v>
      </c>
      <c r="D1" s="1640" t="s">
        <v>773</v>
      </c>
      <c r="E1" s="1640" t="s">
        <v>556</v>
      </c>
      <c r="F1" s="1712" t="s">
        <v>774</v>
      </c>
      <c r="G1" s="1713"/>
      <c r="H1" s="1713"/>
      <c r="I1" s="1713"/>
      <c r="J1" s="1713"/>
      <c r="K1" s="1713"/>
      <c r="L1" s="1713"/>
      <c r="M1" s="1713"/>
      <c r="N1" s="1713"/>
      <c r="O1" s="1713"/>
      <c r="P1" s="1714"/>
      <c r="Q1" s="1172"/>
      <c r="R1" s="1637" t="s">
        <v>775</v>
      </c>
      <c r="S1" s="1637"/>
      <c r="T1" s="1637"/>
      <c r="U1" s="1637"/>
      <c r="V1" s="1637"/>
      <c r="W1" s="1637"/>
      <c r="X1" s="1637"/>
      <c r="Y1" s="1637"/>
      <c r="Z1" s="1637"/>
      <c r="AA1" s="1637"/>
      <c r="AB1" s="1637"/>
      <c r="AC1" s="1635"/>
      <c r="AE1" s="1631" t="s">
        <v>861</v>
      </c>
      <c r="AF1" s="1637"/>
      <c r="AG1" s="1637"/>
      <c r="AH1" s="1637"/>
      <c r="AI1" s="1637"/>
      <c r="AJ1" s="1637"/>
      <c r="AK1" s="1637"/>
      <c r="AL1" s="1637"/>
      <c r="AM1" s="1637"/>
      <c r="AN1" s="1637"/>
      <c r="AO1" s="1637"/>
      <c r="AP1" s="1637"/>
      <c r="AQ1" s="1635"/>
      <c r="AS1" s="1631" t="s">
        <v>862</v>
      </c>
      <c r="AT1" s="1637"/>
      <c r="AU1" s="1637"/>
      <c r="AV1" s="1637"/>
      <c r="AW1" s="1637"/>
      <c r="AX1" s="1637"/>
      <c r="AY1" s="1637"/>
      <c r="AZ1" s="1637"/>
      <c r="BA1" s="1637"/>
      <c r="BB1" s="1637"/>
      <c r="BC1" s="1637"/>
      <c r="BD1" s="1637"/>
      <c r="BE1" s="1637"/>
      <c r="BF1" s="1635"/>
      <c r="BH1" s="1726" t="s">
        <v>863</v>
      </c>
      <c r="BI1" s="1713"/>
      <c r="BJ1" s="1713"/>
      <c r="BK1" s="1713"/>
      <c r="BL1" s="1713"/>
      <c r="BM1" s="1713"/>
      <c r="BN1" s="1713"/>
      <c r="BO1" s="1713"/>
      <c r="BP1" s="1713"/>
      <c r="BQ1" s="1713"/>
      <c r="BR1" s="1713"/>
      <c r="BS1" s="1727"/>
      <c r="BT1" s="1224"/>
      <c r="BU1" s="1741" t="s">
        <v>864</v>
      </c>
      <c r="BV1" s="1224"/>
      <c r="BW1" s="1631" t="s">
        <v>865</v>
      </c>
      <c r="BX1" s="1637"/>
      <c r="BY1" s="1637"/>
      <c r="BZ1" s="1637"/>
      <c r="CA1" s="1637"/>
      <c r="CB1" s="1637"/>
      <c r="CC1" s="1637"/>
      <c r="CD1" s="1637"/>
      <c r="CE1" s="1637"/>
      <c r="CF1" s="1635"/>
      <c r="CH1" s="1733" t="s">
        <v>866</v>
      </c>
      <c r="CI1" s="1734"/>
      <c r="CK1" s="1739" t="s">
        <v>867</v>
      </c>
      <c r="CL1" s="1692"/>
      <c r="CM1" s="1693"/>
      <c r="CN1" s="1090"/>
      <c r="CO1" s="1631" t="s">
        <v>868</v>
      </c>
      <c r="CP1" s="1635"/>
    </row>
    <row r="2" spans="1:94" s="917" customFormat="1">
      <c r="A2" s="1721"/>
      <c r="B2" s="1722"/>
      <c r="C2" s="1724"/>
      <c r="D2" s="1642"/>
      <c r="E2" s="1642"/>
      <c r="F2" s="1715"/>
      <c r="G2" s="1716"/>
      <c r="H2" s="1716"/>
      <c r="I2" s="1716"/>
      <c r="J2" s="1716"/>
      <c r="K2" s="1716"/>
      <c r="L2" s="1716"/>
      <c r="M2" s="1716"/>
      <c r="N2" s="1716"/>
      <c r="O2" s="1716"/>
      <c r="P2" s="1717"/>
      <c r="Q2" s="1088"/>
      <c r="R2" s="1691"/>
      <c r="S2" s="1691"/>
      <c r="T2" s="1691"/>
      <c r="U2" s="1691"/>
      <c r="V2" s="1691"/>
      <c r="W2" s="1691"/>
      <c r="X2" s="1691"/>
      <c r="Y2" s="1691"/>
      <c r="Z2" s="1691"/>
      <c r="AA2" s="1691"/>
      <c r="AB2" s="1691"/>
      <c r="AC2" s="1636"/>
      <c r="AE2" s="1632"/>
      <c r="AF2" s="1691"/>
      <c r="AG2" s="1691"/>
      <c r="AH2" s="1691"/>
      <c r="AI2" s="1691"/>
      <c r="AJ2" s="1691"/>
      <c r="AK2" s="1691"/>
      <c r="AL2" s="1691"/>
      <c r="AM2" s="1691"/>
      <c r="AN2" s="1691"/>
      <c r="AO2" s="1691"/>
      <c r="AP2" s="1691"/>
      <c r="AQ2" s="1636"/>
      <c r="AS2" s="1632"/>
      <c r="AT2" s="1691"/>
      <c r="AU2" s="1691"/>
      <c r="AV2" s="1691"/>
      <c r="AW2" s="1691"/>
      <c r="AX2" s="1691"/>
      <c r="AY2" s="1691"/>
      <c r="AZ2" s="1691"/>
      <c r="BA2" s="1691"/>
      <c r="BB2" s="1691"/>
      <c r="BC2" s="1691"/>
      <c r="BD2" s="1691"/>
      <c r="BE2" s="1691"/>
      <c r="BF2" s="1636"/>
      <c r="BH2" s="1728"/>
      <c r="BI2" s="1716"/>
      <c r="BJ2" s="1716"/>
      <c r="BK2" s="1716"/>
      <c r="BL2" s="1716"/>
      <c r="BM2" s="1716"/>
      <c r="BN2" s="1716"/>
      <c r="BO2" s="1716"/>
      <c r="BP2" s="1716"/>
      <c r="BQ2" s="1716"/>
      <c r="BR2" s="1716"/>
      <c r="BS2" s="1729"/>
      <c r="BT2" s="1224"/>
      <c r="BU2" s="1742"/>
      <c r="BV2" s="1224"/>
      <c r="BW2" s="1632"/>
      <c r="BX2" s="1691"/>
      <c r="BY2" s="1691"/>
      <c r="BZ2" s="1691"/>
      <c r="CA2" s="1691"/>
      <c r="CB2" s="1691"/>
      <c r="CC2" s="1691"/>
      <c r="CD2" s="1691"/>
      <c r="CE2" s="1691"/>
      <c r="CF2" s="1636"/>
      <c r="CH2" s="1735"/>
      <c r="CI2" s="1736"/>
      <c r="CK2" s="1740"/>
      <c r="CL2" s="1694"/>
      <c r="CM2" s="1695"/>
      <c r="CN2" s="1090"/>
      <c r="CO2" s="1632"/>
      <c r="CP2" s="1636"/>
    </row>
    <row r="3" spans="1:94" s="170" customFormat="1" ht="26.45">
      <c r="A3" s="1721"/>
      <c r="B3" s="1722"/>
      <c r="C3" s="1724"/>
      <c r="D3" s="1642"/>
      <c r="E3" s="1642"/>
      <c r="F3" s="1718"/>
      <c r="G3" s="1719"/>
      <c r="H3" s="1719"/>
      <c r="I3" s="1719"/>
      <c r="J3" s="1719"/>
      <c r="K3" s="1719"/>
      <c r="L3" s="1719"/>
      <c r="M3" s="1719"/>
      <c r="N3" s="1719"/>
      <c r="O3" s="1719"/>
      <c r="P3" s="1720"/>
      <c r="Q3" s="317" t="s">
        <v>776</v>
      </c>
      <c r="R3" s="1091">
        <f>'00_Datos_General'!E4</f>
        <v>6500000</v>
      </c>
      <c r="S3" s="1091">
        <f>'00_Datos_General'!E5</f>
        <v>7500000</v>
      </c>
      <c r="T3" s="1091">
        <f>'00_Datos_General'!E6</f>
        <v>3000000</v>
      </c>
      <c r="U3" s="1091">
        <f>'00_Datos_General'!E7</f>
        <v>12000000</v>
      </c>
      <c r="V3" s="1091">
        <f>'00_Datos_General'!E8</f>
        <v>9000000</v>
      </c>
      <c r="W3" s="1091">
        <f>'00_Datos_General'!E10</f>
        <v>6383507.8125</v>
      </c>
      <c r="X3" s="1091">
        <f>'00_Datos_General'!E11</f>
        <v>3751939.2857142859</v>
      </c>
      <c r="Y3" s="1091">
        <f>'00_Datos_General'!E9</f>
        <v>7500000</v>
      </c>
      <c r="Z3" s="1091"/>
      <c r="AA3" s="1091">
        <f>'00_Datos_General'!C26</f>
        <v>50000000</v>
      </c>
      <c r="AB3" s="1092"/>
      <c r="AC3" s="1173"/>
      <c r="AE3" s="1632"/>
      <c r="AF3" s="1691"/>
      <c r="AG3" s="1691"/>
      <c r="AH3" s="1691"/>
      <c r="AI3" s="1691"/>
      <c r="AJ3" s="1691"/>
      <c r="AK3" s="1691"/>
      <c r="AL3" s="1691"/>
      <c r="AM3" s="1691"/>
      <c r="AN3" s="1691"/>
      <c r="AO3" s="1691"/>
      <c r="AP3" s="1691"/>
      <c r="AQ3" s="1636"/>
      <c r="AS3" s="1632"/>
      <c r="AT3" s="1691"/>
      <c r="AU3" s="1691"/>
      <c r="AV3" s="1691"/>
      <c r="AW3" s="1691"/>
      <c r="AX3" s="1691"/>
      <c r="AY3" s="1691"/>
      <c r="AZ3" s="1691"/>
      <c r="BA3" s="1691"/>
      <c r="BB3" s="1691"/>
      <c r="BC3" s="1691"/>
      <c r="BD3" s="1691"/>
      <c r="BE3" s="1691"/>
      <c r="BF3" s="1636"/>
      <c r="BH3" s="1730"/>
      <c r="BI3" s="1731"/>
      <c r="BJ3" s="1731"/>
      <c r="BK3" s="1731"/>
      <c r="BL3" s="1731"/>
      <c r="BM3" s="1731"/>
      <c r="BN3" s="1731"/>
      <c r="BO3" s="1731"/>
      <c r="BP3" s="1731"/>
      <c r="BQ3" s="1731"/>
      <c r="BR3" s="1731"/>
      <c r="BS3" s="1732"/>
      <c r="BT3" s="1224"/>
      <c r="BU3" s="1742"/>
      <c r="BV3" s="1224"/>
      <c r="BW3" s="1632"/>
      <c r="BX3" s="1691"/>
      <c r="BY3" s="1691"/>
      <c r="BZ3" s="1691"/>
      <c r="CA3" s="1691"/>
      <c r="CB3" s="1691"/>
      <c r="CC3" s="1691"/>
      <c r="CD3" s="1691"/>
      <c r="CE3" s="1691"/>
      <c r="CF3" s="1636"/>
      <c r="CH3" s="1735"/>
      <c r="CI3" s="1736"/>
      <c r="CK3" s="1740"/>
      <c r="CL3" s="1694"/>
      <c r="CM3" s="1695"/>
      <c r="CN3" s="1090"/>
      <c r="CO3" s="1632"/>
      <c r="CP3" s="1636"/>
    </row>
    <row r="4" spans="1:94" ht="66">
      <c r="A4" s="1721"/>
      <c r="B4" s="1722"/>
      <c r="C4" s="1725"/>
      <c r="D4" s="1642"/>
      <c r="E4" s="1642"/>
      <c r="F4" s="1093" t="s">
        <v>729</v>
      </c>
      <c r="G4" s="1094" t="str">
        <f>'08_ATC_por_USOS'!G2</f>
        <v xml:space="preserve">a_CS - Creativos </v>
      </c>
      <c r="H4" s="1095" t="str">
        <f>'08_ATC_por_USOS'!K2</f>
        <v>b_CS - General (Comercio + Oficinas + Hospedaje)</v>
      </c>
      <c r="I4" s="1096" t="str">
        <f>'08_ATC_por_USOS'!O2</f>
        <v>c_CS - Grandes Superficies</v>
      </c>
      <c r="J4" s="1097" t="str">
        <f>'08_ATC_por_USOS'!S2</f>
        <v>d_CS - Torre Empresarial (Oficinas + Hospedaje)</v>
      </c>
      <c r="K4" s="1098" t="str">
        <f>'08_ATC_por_USOS'!W2</f>
        <v>e_CS - Innovation (H, CS, Gamers)</v>
      </c>
      <c r="L4" s="1099" t="str">
        <f>'08_ATC_por_USOS'!AY2</f>
        <v>h_VIS_RU</v>
      </c>
      <c r="M4" s="1100" t="str">
        <f>'08_ATC_por_USOS'!BC2</f>
        <v>i_VIP RU</v>
      </c>
      <c r="N4" s="1101" t="str">
        <f>'08_ATC_por_USOS'!BM2</f>
        <v>i_RES - No VIS</v>
      </c>
      <c r="O4" s="1093" t="s">
        <v>869</v>
      </c>
      <c r="P4" s="421" t="s">
        <v>778</v>
      </c>
      <c r="Q4" s="1102"/>
      <c r="R4" s="1103" t="str">
        <f t="shared" ref="R4:Y4" si="0">G4</f>
        <v xml:space="preserve">a_CS - Creativos </v>
      </c>
      <c r="S4" s="1104" t="str">
        <f t="shared" si="0"/>
        <v>b_CS - General (Comercio + Oficinas + Hospedaje)</v>
      </c>
      <c r="T4" s="1105" t="str">
        <f t="shared" si="0"/>
        <v>c_CS - Grandes Superficies</v>
      </c>
      <c r="U4" s="1106" t="str">
        <f t="shared" si="0"/>
        <v>d_CS - Torre Empresarial (Oficinas + Hospedaje)</v>
      </c>
      <c r="V4" s="1107" t="str">
        <f t="shared" si="0"/>
        <v>e_CS - Innovation (H, CS, Gamers)</v>
      </c>
      <c r="W4" s="1108" t="str">
        <f t="shared" si="0"/>
        <v>h_VIS_RU</v>
      </c>
      <c r="X4" s="1109" t="str">
        <f t="shared" si="0"/>
        <v>i_VIP RU</v>
      </c>
      <c r="Y4" s="1110" t="str">
        <f t="shared" si="0"/>
        <v>i_RES - No VIS</v>
      </c>
      <c r="Z4" s="1111" t="s">
        <v>779</v>
      </c>
      <c r="AA4" s="1112" t="s">
        <v>870</v>
      </c>
      <c r="AB4" s="1710" t="s">
        <v>781</v>
      </c>
      <c r="AC4" s="1711"/>
      <c r="AE4" s="1161" t="str">
        <f>R4</f>
        <v xml:space="preserve">a_CS - Creativos </v>
      </c>
      <c r="AF4" s="1152" t="str">
        <f t="shared" ref="AF4:AL4" si="1">S4</f>
        <v>b_CS - General (Comercio + Oficinas + Hospedaje)</v>
      </c>
      <c r="AG4" s="1153" t="str">
        <f t="shared" si="1"/>
        <v>c_CS - Grandes Superficies</v>
      </c>
      <c r="AH4" s="1154" t="str">
        <f t="shared" si="1"/>
        <v>d_CS - Torre Empresarial (Oficinas + Hospedaje)</v>
      </c>
      <c r="AI4" s="1155" t="str">
        <f t="shared" si="1"/>
        <v>e_CS - Innovation (H, CS, Gamers)</v>
      </c>
      <c r="AJ4" s="1156" t="str">
        <f t="shared" si="1"/>
        <v>h_VIS_RU</v>
      </c>
      <c r="AK4" s="1157" t="str">
        <f t="shared" si="1"/>
        <v>i_VIP RU</v>
      </c>
      <c r="AL4" s="1158" t="str">
        <f t="shared" si="1"/>
        <v>i_RES - No VIS</v>
      </c>
      <c r="AM4" s="1160" t="s">
        <v>871</v>
      </c>
      <c r="AN4" s="1160" t="s">
        <v>872</v>
      </c>
      <c r="AO4" s="1160" t="s">
        <v>697</v>
      </c>
      <c r="AP4" s="902" t="s">
        <v>873</v>
      </c>
      <c r="AQ4" s="955" t="s">
        <v>226</v>
      </c>
      <c r="AS4" s="1161" t="str">
        <f>AE4</f>
        <v xml:space="preserve">a_CS - Creativos </v>
      </c>
      <c r="AT4" s="1152" t="str">
        <f t="shared" ref="AT4" si="2">AF4</f>
        <v>b_CS - General (Comercio + Oficinas + Hospedaje)</v>
      </c>
      <c r="AU4" s="1153" t="str">
        <f t="shared" ref="AU4" si="3">AG4</f>
        <v>c_CS - Grandes Superficies</v>
      </c>
      <c r="AV4" s="1154" t="str">
        <f t="shared" ref="AV4" si="4">AH4</f>
        <v>d_CS - Torre Empresarial (Oficinas + Hospedaje)</v>
      </c>
      <c r="AW4" s="1155" t="str">
        <f t="shared" ref="AW4" si="5">AI4</f>
        <v>e_CS - Innovation (H, CS, Gamers)</v>
      </c>
      <c r="AX4" s="1156" t="str">
        <f t="shared" ref="AX4" si="6">AJ4</f>
        <v>h_VIS_RU</v>
      </c>
      <c r="AY4" s="1157" t="str">
        <f t="shared" ref="AY4" si="7">AK4</f>
        <v>i_VIP RU</v>
      </c>
      <c r="AZ4" s="1089" t="str">
        <f t="shared" ref="AZ4" si="8">AL4</f>
        <v>i_RES - No VIS</v>
      </c>
      <c r="BA4" s="1160" t="s">
        <v>874</v>
      </c>
      <c r="BB4" s="1160" t="s">
        <v>875</v>
      </c>
      <c r="BC4" s="1160" t="s">
        <v>697</v>
      </c>
      <c r="BD4" s="902" t="s">
        <v>876</v>
      </c>
      <c r="BE4" s="1691" t="s">
        <v>877</v>
      </c>
      <c r="BF4" s="1636"/>
      <c r="BH4" s="954" t="s">
        <v>878</v>
      </c>
      <c r="BI4" s="902" t="s">
        <v>879</v>
      </c>
      <c r="BJ4" s="902" t="s">
        <v>880</v>
      </c>
      <c r="BK4" s="902" t="s">
        <v>844</v>
      </c>
      <c r="BL4" s="902" t="s">
        <v>881</v>
      </c>
      <c r="BM4" s="902" t="s">
        <v>846</v>
      </c>
      <c r="BN4" s="902" t="s">
        <v>882</v>
      </c>
      <c r="BO4" s="902" t="s">
        <v>883</v>
      </c>
      <c r="BP4" s="902" t="s">
        <v>884</v>
      </c>
      <c r="BQ4" s="902" t="s">
        <v>885</v>
      </c>
      <c r="BR4" s="1691" t="s">
        <v>886</v>
      </c>
      <c r="BS4" s="1636"/>
      <c r="BT4" s="1224"/>
      <c r="BU4" s="1742"/>
      <c r="BV4" s="1224"/>
      <c r="BW4" s="1161" t="str">
        <f t="shared" ref="BW4:CD4" si="9">AS4</f>
        <v xml:space="preserve">a_CS - Creativos </v>
      </c>
      <c r="BX4" s="1152" t="str">
        <f t="shared" si="9"/>
        <v>b_CS - General (Comercio + Oficinas + Hospedaje)</v>
      </c>
      <c r="BY4" s="1153" t="str">
        <f t="shared" si="9"/>
        <v>c_CS - Grandes Superficies</v>
      </c>
      <c r="BZ4" s="1154" t="str">
        <f t="shared" si="9"/>
        <v>d_CS - Torre Empresarial (Oficinas + Hospedaje)</v>
      </c>
      <c r="CA4" s="1155" t="str">
        <f t="shared" si="9"/>
        <v>e_CS - Innovation (H, CS, Gamers)</v>
      </c>
      <c r="CB4" s="1156" t="str">
        <f t="shared" si="9"/>
        <v>h_VIS_RU</v>
      </c>
      <c r="CC4" s="1157" t="str">
        <f t="shared" si="9"/>
        <v>i_VIP RU</v>
      </c>
      <c r="CD4" s="1158" t="str">
        <f t="shared" si="9"/>
        <v>i_RES - No VIS</v>
      </c>
      <c r="CE4" s="1694" t="s">
        <v>887</v>
      </c>
      <c r="CF4" s="1695"/>
      <c r="CG4" s="928"/>
      <c r="CH4" s="1737"/>
      <c r="CI4" s="1738"/>
      <c r="CK4" s="954" t="s">
        <v>220</v>
      </c>
      <c r="CL4" s="1160" t="s">
        <v>888</v>
      </c>
      <c r="CM4" s="955" t="s">
        <v>889</v>
      </c>
      <c r="CN4" s="910"/>
      <c r="CO4" s="954" t="s">
        <v>890</v>
      </c>
      <c r="CP4" s="955" t="s">
        <v>891</v>
      </c>
    </row>
    <row r="5" spans="1:94">
      <c r="A5" s="1168"/>
      <c r="B5" s="1174"/>
      <c r="C5" s="416"/>
      <c r="D5" s="416"/>
      <c r="E5" s="416"/>
      <c r="F5" s="414"/>
      <c r="G5" s="1175"/>
      <c r="H5" s="1175"/>
      <c r="I5" s="1175"/>
      <c r="J5" s="1175"/>
      <c r="K5" s="1175"/>
      <c r="L5" s="1175"/>
      <c r="M5" s="414"/>
      <c r="N5" s="414"/>
      <c r="O5" s="414"/>
      <c r="P5" s="414"/>
      <c r="R5" s="1114"/>
      <c r="S5" s="1114"/>
      <c r="T5" s="1114"/>
      <c r="U5" s="1114"/>
      <c r="V5" s="1114"/>
      <c r="W5" s="1114"/>
      <c r="X5" s="809"/>
      <c r="Y5" s="809"/>
      <c r="Z5" s="1114"/>
      <c r="AA5" s="1114"/>
      <c r="AB5" s="1115">
        <f>AB8/AB8</f>
        <v>1</v>
      </c>
      <c r="AC5" s="1176"/>
      <c r="AE5" s="1162"/>
      <c r="AF5" s="1113"/>
      <c r="AG5" s="1113"/>
      <c r="AH5" s="1113"/>
      <c r="AI5" s="1113"/>
      <c r="AJ5" s="1113"/>
      <c r="AK5" s="1113"/>
      <c r="AL5" s="1113"/>
      <c r="AM5" s="1114"/>
      <c r="AN5" s="1113"/>
      <c r="AO5" s="1113"/>
      <c r="AP5" s="518"/>
      <c r="AQ5" s="916"/>
      <c r="AS5" s="1162"/>
      <c r="AT5" s="1113"/>
      <c r="AU5" s="1113"/>
      <c r="AV5" s="1113"/>
      <c r="AW5" s="1113"/>
      <c r="AX5" s="1113"/>
      <c r="AY5" s="1113"/>
      <c r="AZ5" s="1113"/>
      <c r="BA5" s="1114"/>
      <c r="BB5" s="1113"/>
      <c r="BC5" s="1113"/>
      <c r="BD5" s="1116">
        <f>BD8/$AB$8</f>
        <v>1.2649507969448588E-3</v>
      </c>
      <c r="BE5" s="809"/>
      <c r="BF5" s="1189">
        <f>BF8</f>
        <v>0.56421098978383821</v>
      </c>
      <c r="BH5" s="1199">
        <v>0.2</v>
      </c>
      <c r="BI5" s="1116">
        <f t="shared" ref="BI5:BR5" si="10">BI8/$AB$8</f>
        <v>1.4155499298156371E-3</v>
      </c>
      <c r="BJ5" s="1116">
        <f t="shared" si="10"/>
        <v>1.5153504778746751E-2</v>
      </c>
      <c r="BK5" s="1116">
        <f t="shared" si="10"/>
        <v>1.7546873489377048E-4</v>
      </c>
      <c r="BL5" s="1116">
        <f t="shared" si="10"/>
        <v>9.8701163377745899E-4</v>
      </c>
      <c r="BM5" s="1116">
        <f t="shared" si="10"/>
        <v>2.6574086342217593E-3</v>
      </c>
      <c r="BN5" s="1116"/>
      <c r="BO5" s="1116"/>
      <c r="BP5" s="1116"/>
      <c r="BQ5" s="1116"/>
      <c r="BR5" s="1116">
        <f t="shared" si="10"/>
        <v>0.22038894371145537</v>
      </c>
      <c r="BS5" s="957"/>
      <c r="BT5" s="1225"/>
      <c r="BU5" s="1228"/>
      <c r="BV5" s="1225"/>
      <c r="BW5" s="1237">
        <v>0.09</v>
      </c>
      <c r="BX5" s="1117">
        <v>0.09</v>
      </c>
      <c r="BY5" s="1117">
        <v>0.09</v>
      </c>
      <c r="BZ5" s="1117">
        <v>0.09</v>
      </c>
      <c r="CA5" s="1117">
        <v>0.09</v>
      </c>
      <c r="CB5" s="1117">
        <v>0.1</v>
      </c>
      <c r="CC5" s="1117">
        <v>0.1</v>
      </c>
      <c r="CD5" s="1117">
        <v>0.1</v>
      </c>
      <c r="CE5" s="1118">
        <f>CE8/AB8</f>
        <v>9.5449720536748814E-2</v>
      </c>
      <c r="CF5" s="1238"/>
      <c r="CH5" s="1245">
        <f>CI8</f>
        <v>0.88004965403204261</v>
      </c>
      <c r="CI5" s="957"/>
      <c r="CK5" s="915"/>
      <c r="CL5" s="1118">
        <f>CL8/AB8</f>
        <v>0.11995034596795748</v>
      </c>
      <c r="CM5" s="957"/>
      <c r="CO5" s="956"/>
      <c r="CP5" s="957"/>
    </row>
    <row r="6" spans="1:94" s="1120" customFormat="1">
      <c r="A6" s="1169"/>
      <c r="B6" s="1177"/>
      <c r="R6" s="1121"/>
      <c r="S6" s="1121"/>
      <c r="T6" s="1121"/>
      <c r="U6" s="1121"/>
      <c r="V6" s="1121"/>
      <c r="W6" s="1121"/>
      <c r="X6" s="1121"/>
      <c r="Y6" s="1121"/>
      <c r="Z6" s="1121"/>
      <c r="AA6" s="1121"/>
      <c r="AB6" s="1121"/>
      <c r="AC6" s="1164"/>
      <c r="AE6" s="1163"/>
      <c r="AF6" s="1121"/>
      <c r="AG6" s="1121"/>
      <c r="AH6" s="1121"/>
      <c r="AI6" s="1121"/>
      <c r="AJ6" s="1121"/>
      <c r="AK6" s="1121"/>
      <c r="AL6" s="1121"/>
      <c r="AM6" s="1121"/>
      <c r="AN6" s="1121"/>
      <c r="AO6" s="1121"/>
      <c r="AP6" s="1121"/>
      <c r="AQ6" s="1164"/>
      <c r="AS6" s="1190">
        <f>'00_Datos_General'!$C4</f>
        <v>2275000</v>
      </c>
      <c r="AT6" s="1122">
        <f>'00_Datos_General'!$C5</f>
        <v>2625000</v>
      </c>
      <c r="AU6" s="1122">
        <f>'00_Datos_General'!$C6</f>
        <v>1500000</v>
      </c>
      <c r="AV6" s="1122">
        <f>'00_Datos_General'!$C7</f>
        <v>4200000</v>
      </c>
      <c r="AW6" s="1122">
        <f>'00_Datos_General'!$C8</f>
        <v>3150000</v>
      </c>
      <c r="AX6" s="1122">
        <f>'00_Datos_General'!C10</f>
        <v>2872578.515625</v>
      </c>
      <c r="AY6" s="1122">
        <f>'00_Datos_General'!C11</f>
        <v>1688372.6785714286</v>
      </c>
      <c r="AZ6" s="1122">
        <f>'00_Datos_General'!C9</f>
        <v>3375000</v>
      </c>
      <c r="BA6" s="1122"/>
      <c r="BB6" s="1122">
        <f>'00_Datos_General'!C21</f>
        <v>1600000</v>
      </c>
      <c r="BC6" s="1122">
        <f>'00_Datos_General'!C20</f>
        <v>3375000</v>
      </c>
      <c r="BD6" s="1122">
        <f>'00_Datos_General'!C15</f>
        <v>200000</v>
      </c>
      <c r="BE6" s="1121"/>
      <c r="BF6" s="1164"/>
      <c r="BH6" s="1163"/>
      <c r="BI6" s="1121"/>
      <c r="BJ6" s="1121"/>
      <c r="BK6" s="1121"/>
      <c r="BL6" s="1121"/>
      <c r="BM6" s="1121"/>
      <c r="BN6" s="1121"/>
      <c r="BO6" s="1121"/>
      <c r="BP6" s="1121"/>
      <c r="BQ6" s="1121"/>
      <c r="BR6" s="1121"/>
      <c r="BS6" s="1164"/>
      <c r="BT6" s="1226"/>
      <c r="BU6" s="1229"/>
      <c r="BV6" s="1226"/>
      <c r="BW6" s="1163"/>
      <c r="BX6" s="1121"/>
      <c r="BY6" s="1121"/>
      <c r="BZ6" s="1121"/>
      <c r="CA6" s="1121"/>
      <c r="CB6" s="1121"/>
      <c r="CC6" s="1121"/>
      <c r="CD6" s="1121"/>
      <c r="CE6" s="1121"/>
      <c r="CF6" s="1239"/>
      <c r="CH6" s="1163"/>
      <c r="CI6" s="1164"/>
      <c r="CK6" s="1200"/>
      <c r="CL6" s="1121"/>
      <c r="CM6" s="1164"/>
      <c r="CO6" s="1163"/>
      <c r="CP6" s="1164"/>
    </row>
    <row r="7" spans="1:94" s="1120" customFormat="1" ht="13.9" thickBot="1">
      <c r="A7" s="1169"/>
      <c r="B7" s="1178" t="s">
        <v>164</v>
      </c>
      <c r="C7" s="1119"/>
      <c r="D7" s="1119" t="s">
        <v>164</v>
      </c>
      <c r="E7" s="1119" t="s">
        <v>164</v>
      </c>
      <c r="F7" s="1119" t="s">
        <v>164</v>
      </c>
      <c r="G7" s="1119" t="s">
        <v>164</v>
      </c>
      <c r="H7" s="1119" t="s">
        <v>164</v>
      </c>
      <c r="I7" s="1119" t="s">
        <v>164</v>
      </c>
      <c r="J7" s="1119" t="s">
        <v>164</v>
      </c>
      <c r="K7" s="1119" t="s">
        <v>164</v>
      </c>
      <c r="L7" s="1119" t="s">
        <v>164</v>
      </c>
      <c r="M7" s="1119" t="s">
        <v>164</v>
      </c>
      <c r="N7" s="1119" t="s">
        <v>164</v>
      </c>
      <c r="O7" s="1119" t="s">
        <v>56</v>
      </c>
      <c r="P7" s="1124" t="s">
        <v>164</v>
      </c>
      <c r="Q7" s="1125"/>
      <c r="R7" s="1126" t="s">
        <v>176</v>
      </c>
      <c r="S7" s="1126" t="s">
        <v>176</v>
      </c>
      <c r="T7" s="1126" t="s">
        <v>176</v>
      </c>
      <c r="U7" s="1126" t="s">
        <v>176</v>
      </c>
      <c r="V7" s="1126" t="s">
        <v>176</v>
      </c>
      <c r="W7" s="1126" t="s">
        <v>176</v>
      </c>
      <c r="X7" s="1126" t="s">
        <v>176</v>
      </c>
      <c r="Y7" s="1126" t="s">
        <v>176</v>
      </c>
      <c r="Z7" s="1126" t="s">
        <v>176</v>
      </c>
      <c r="AA7" s="1126" t="s">
        <v>176</v>
      </c>
      <c r="AB7" s="1215" t="s">
        <v>176</v>
      </c>
      <c r="AC7" s="1179" t="s">
        <v>220</v>
      </c>
      <c r="AE7" s="1163" t="s">
        <v>164</v>
      </c>
      <c r="AF7" s="1123" t="s">
        <v>164</v>
      </c>
      <c r="AG7" s="1123" t="s">
        <v>164</v>
      </c>
      <c r="AH7" s="1123" t="s">
        <v>164</v>
      </c>
      <c r="AI7" s="1123" t="s">
        <v>164</v>
      </c>
      <c r="AJ7" s="1123" t="s">
        <v>164</v>
      </c>
      <c r="AK7" s="1123" t="s">
        <v>164</v>
      </c>
      <c r="AL7" s="1123" t="s">
        <v>164</v>
      </c>
      <c r="AM7" s="1123" t="s">
        <v>164</v>
      </c>
      <c r="AN7" s="1123" t="s">
        <v>164</v>
      </c>
      <c r="AO7" s="1123" t="s">
        <v>164</v>
      </c>
      <c r="AP7" s="1123" t="s">
        <v>164</v>
      </c>
      <c r="AQ7" s="1165" t="s">
        <v>164</v>
      </c>
      <c r="AS7" s="1191" t="s">
        <v>176</v>
      </c>
      <c r="AT7" s="1127" t="s">
        <v>176</v>
      </c>
      <c r="AU7" s="1127" t="s">
        <v>176</v>
      </c>
      <c r="AV7" s="1127" t="s">
        <v>176</v>
      </c>
      <c r="AW7" s="1127" t="s">
        <v>176</v>
      </c>
      <c r="AX7" s="1127" t="s">
        <v>176</v>
      </c>
      <c r="AY7" s="1127" t="s">
        <v>176</v>
      </c>
      <c r="AZ7" s="1127" t="s">
        <v>176</v>
      </c>
      <c r="BA7" s="1127" t="s">
        <v>176</v>
      </c>
      <c r="BB7" s="1127" t="s">
        <v>176</v>
      </c>
      <c r="BC7" s="1127" t="s">
        <v>176</v>
      </c>
      <c r="BD7" s="1127" t="s">
        <v>176</v>
      </c>
      <c r="BE7" s="1220" t="s">
        <v>176</v>
      </c>
      <c r="BF7" s="1165" t="s">
        <v>220</v>
      </c>
      <c r="BG7" s="1128"/>
      <c r="BH7" s="1200" t="s">
        <v>176</v>
      </c>
      <c r="BI7" s="1123" t="s">
        <v>176</v>
      </c>
      <c r="BJ7" s="1123" t="s">
        <v>176</v>
      </c>
      <c r="BK7" s="1121"/>
      <c r="BL7" s="1121"/>
      <c r="BM7" s="1121"/>
      <c r="BN7" s="1121"/>
      <c r="BO7" s="1121"/>
      <c r="BP7" s="1121"/>
      <c r="BQ7" s="1121"/>
      <c r="BR7" s="1211"/>
      <c r="BS7" s="1164"/>
      <c r="BT7" s="1226"/>
      <c r="BU7" s="1229"/>
      <c r="BV7" s="1226"/>
      <c r="BW7" s="1163"/>
      <c r="BX7" s="1121"/>
      <c r="BY7" s="1121"/>
      <c r="BZ7" s="1121"/>
      <c r="CA7" s="1121"/>
      <c r="CB7" s="1121"/>
      <c r="CC7" s="1121"/>
      <c r="CD7" s="1121"/>
      <c r="CE7" s="1211"/>
      <c r="CF7" s="1239"/>
      <c r="CH7" s="1163"/>
      <c r="CI7" s="1164"/>
      <c r="CK7" s="1200"/>
      <c r="CL7" s="1121"/>
      <c r="CM7" s="1164"/>
      <c r="CO7" s="1163"/>
      <c r="CP7" s="1164"/>
    </row>
    <row r="8" spans="1:94" s="1134" customFormat="1" ht="16.149999999999999" thickBot="1">
      <c r="A8" s="1170"/>
      <c r="B8" s="1180">
        <f>SUM(B9:B16)</f>
        <v>164776.711307171</v>
      </c>
      <c r="C8" s="1129">
        <f t="shared" ref="C8:P8" si="11">SUM(C9:C16)</f>
        <v>107104.86234966114</v>
      </c>
      <c r="D8" s="1129">
        <f t="shared" si="11"/>
        <v>57671.848957509857</v>
      </c>
      <c r="E8" s="1129">
        <f t="shared" si="11"/>
        <v>43948.044250916901</v>
      </c>
      <c r="F8" s="1130">
        <f t="shared" si="11"/>
        <v>1185887.7745094637</v>
      </c>
      <c r="G8" s="1129">
        <f t="shared" si="11"/>
        <v>29356.213403211012</v>
      </c>
      <c r="H8" s="1129">
        <f t="shared" si="11"/>
        <v>95044.470611444325</v>
      </c>
      <c r="I8" s="1129">
        <f t="shared" si="11"/>
        <v>3625.1465066750798</v>
      </c>
      <c r="J8" s="1129">
        <f t="shared" si="11"/>
        <v>69276.283484898158</v>
      </c>
      <c r="K8" s="1129">
        <f t="shared" si="11"/>
        <v>90089.148434017989</v>
      </c>
      <c r="L8" s="1129">
        <f t="shared" si="11"/>
        <v>85596.219255526463</v>
      </c>
      <c r="M8" s="1129">
        <f t="shared" si="11"/>
        <v>64197.164441644862</v>
      </c>
      <c r="N8" s="1129">
        <f t="shared" si="11"/>
        <v>748703.12837204558</v>
      </c>
      <c r="O8" s="1129">
        <f t="shared" si="11"/>
        <v>3185</v>
      </c>
      <c r="P8" s="1131">
        <f t="shared" si="11"/>
        <v>1185887.7745094637</v>
      </c>
      <c r="Q8" s="1132"/>
      <c r="R8" s="1133">
        <f t="shared" ref="R8:AB8" si="12">SUM(R9:R16)</f>
        <v>190815387120.87158</v>
      </c>
      <c r="S8" s="1133">
        <f t="shared" si="12"/>
        <v>712833529585.8324</v>
      </c>
      <c r="T8" s="1133">
        <f t="shared" si="12"/>
        <v>10875439520.02524</v>
      </c>
      <c r="U8" s="1133">
        <f t="shared" si="12"/>
        <v>831315401818.77795</v>
      </c>
      <c r="V8" s="1133">
        <f t="shared" si="12"/>
        <v>810802335906.16187</v>
      </c>
      <c r="W8" s="1133">
        <f t="shared" si="12"/>
        <v>546404134338.11615</v>
      </c>
      <c r="X8" s="1133">
        <f t="shared" si="12"/>
        <v>240863863300.06757</v>
      </c>
      <c r="Y8" s="1133">
        <f t="shared" si="12"/>
        <v>5615273462790.3428</v>
      </c>
      <c r="Z8" s="1138">
        <f t="shared" si="12"/>
        <v>8959183554380.1953</v>
      </c>
      <c r="AA8" s="1213">
        <f t="shared" si="12"/>
        <v>159250000000</v>
      </c>
      <c r="AB8" s="1217">
        <f t="shared" si="12"/>
        <v>9118433554380.1953</v>
      </c>
      <c r="AC8" s="1214">
        <f>SUM(AC9:AC16)</f>
        <v>1</v>
      </c>
      <c r="AE8" s="1166">
        <f>SUM(AE9:AE16)</f>
        <v>38163.077424174306</v>
      </c>
      <c r="AF8" s="1135">
        <f t="shared" ref="AF8:AP8" si="13">SUM(AF9:AF16)</f>
        <v>128310.03532544983</v>
      </c>
      <c r="AG8" s="1135">
        <f t="shared" si="13"/>
        <v>5437.7197600126192</v>
      </c>
      <c r="AH8" s="1135">
        <f t="shared" si="13"/>
        <v>93522.982704612499</v>
      </c>
      <c r="AI8" s="1135">
        <f t="shared" si="13"/>
        <v>121620.35038592429</v>
      </c>
      <c r="AJ8" s="1135">
        <f t="shared" si="13"/>
        <v>102715.46310663177</v>
      </c>
      <c r="AK8" s="1135">
        <f t="shared" si="13"/>
        <v>77036.597329973825</v>
      </c>
      <c r="AL8" s="1135">
        <f t="shared" si="13"/>
        <v>898443.75404645479</v>
      </c>
      <c r="AM8" s="1135">
        <f t="shared" si="13"/>
        <v>1465249.9800832341</v>
      </c>
      <c r="AN8" s="1135">
        <f t="shared" si="13"/>
        <v>118588.77745094638</v>
      </c>
      <c r="AO8" s="1135">
        <f t="shared" si="13"/>
        <v>82482.833797403611</v>
      </c>
      <c r="AP8" s="1135">
        <f t="shared" si="13"/>
        <v>3131571.5714148181</v>
      </c>
      <c r="AQ8" s="1167">
        <f>SUM(AQ9:AQ16)</f>
        <v>57671.848957509857</v>
      </c>
      <c r="AS8" s="1166">
        <f t="shared" ref="AS8" si="14">SUM(AS9:AS16)</f>
        <v>86821001139.996567</v>
      </c>
      <c r="AT8" s="1135">
        <f t="shared" ref="AT8" si="15">SUM(AT9:AT16)</f>
        <v>336813842729.30579</v>
      </c>
      <c r="AU8" s="1135">
        <f t="shared" ref="AU8" si="16">SUM(AU9:AU16)</f>
        <v>8156579640.0189285</v>
      </c>
      <c r="AV8" s="1135">
        <f t="shared" ref="AV8" si="17">SUM(AV9:AV16)</f>
        <v>392796527359.3725</v>
      </c>
      <c r="AW8" s="1135">
        <f t="shared" ref="AW8" si="18">SUM(AW9:AW16)</f>
        <v>383104103715.6615</v>
      </c>
      <c r="AX8" s="1135">
        <f t="shared" ref="AX8" si="19">SUM(AX9:AX16)</f>
        <v>295058232542.58276</v>
      </c>
      <c r="AY8" s="1135">
        <f t="shared" ref="AY8" si="20">SUM(AY9:AY16)</f>
        <v>130066486182.03648</v>
      </c>
      <c r="AZ8" s="1135">
        <f t="shared" ref="AZ8:BA8" si="21">SUM(AZ9:AZ16)</f>
        <v>3032247669906.7852</v>
      </c>
      <c r="BA8" s="1135">
        <f t="shared" si="21"/>
        <v>4665064443215.7598</v>
      </c>
      <c r="BB8" s="1135">
        <f t="shared" ref="BB8" si="22">SUM(BB9:BB16)</f>
        <v>189742043921.51416</v>
      </c>
      <c r="BC8" s="1135">
        <f t="shared" ref="BC8" si="23">SUM(BC9:BC16)</f>
        <v>278379564066.23724</v>
      </c>
      <c r="BD8" s="1218">
        <f>SUM(BD9:BD16)</f>
        <v>11534369791.50197</v>
      </c>
      <c r="BE8" s="1222">
        <f t="shared" ref="BE8" si="24">SUM(BE9:BE16)</f>
        <v>5144720420995.0117</v>
      </c>
      <c r="BF8" s="1219">
        <f t="shared" ref="BF8:BF16" si="25">BE8/AB8</f>
        <v>0.56421098978383821</v>
      </c>
      <c r="BH8" s="1201">
        <f>SUM(BH9:BH16)</f>
        <v>1823686710876.0393</v>
      </c>
      <c r="BI8" s="1136">
        <f>SUM(BI9:BI16)</f>
        <v>12907597977.931437</v>
      </c>
      <c r="BJ8" s="1136">
        <f>SUM(BJ9:BJ16)</f>
        <v>138176226440.98502</v>
      </c>
      <c r="BK8" s="1136">
        <f t="shared" ref="BK8:BM8" si="26">SUM(BK9:BK16)</f>
        <v>1599999999.9999998</v>
      </c>
      <c r="BL8" s="1136">
        <f t="shared" si="26"/>
        <v>8999999999.9999981</v>
      </c>
      <c r="BM8" s="1137">
        <f t="shared" si="26"/>
        <v>24231404057.987335</v>
      </c>
      <c r="BN8" s="1137">
        <f>SUM(BN9:BN16)</f>
        <v>40556469678.416145</v>
      </c>
      <c r="BO8" s="1137">
        <f>SUM(BO9:BO16)</f>
        <v>-40556469678.416153</v>
      </c>
      <c r="BP8" s="1137">
        <f>SUM(BP9:BP16)</f>
        <v>15041671361.958187</v>
      </c>
      <c r="BQ8" s="1209">
        <f>SUM(BQ9:BQ16)</f>
        <v>-15041671361.958202</v>
      </c>
      <c r="BR8" s="1223">
        <f>SUM(BR9:BR16)</f>
        <v>2009601939352.9429</v>
      </c>
      <c r="BS8" s="1210">
        <f t="shared" ref="BS8:BS16" si="27">BR8/AB8</f>
        <v>0.22038894371145537</v>
      </c>
      <c r="BT8" s="1227"/>
      <c r="BU8" s="1230">
        <f>SUM(BU9:BU16)</f>
        <v>7154322360347.9561</v>
      </c>
      <c r="BV8" s="1235"/>
      <c r="BW8" s="1240">
        <f t="shared" ref="BW8:CE8" si="28">SUM(BW9:BW16)</f>
        <v>17173384840.878441</v>
      </c>
      <c r="BX8" s="1139">
        <f t="shared" si="28"/>
        <v>64155017662.724915</v>
      </c>
      <c r="BY8" s="1139">
        <f t="shared" si="28"/>
        <v>978789556.8022716</v>
      </c>
      <c r="BZ8" s="1139">
        <f t="shared" si="28"/>
        <v>74818386163.690018</v>
      </c>
      <c r="CA8" s="1139">
        <f t="shared" si="28"/>
        <v>72972210231.554565</v>
      </c>
      <c r="CB8" s="1139">
        <f t="shared" si="28"/>
        <v>54640413433.811615</v>
      </c>
      <c r="CC8" s="1139">
        <f t="shared" si="28"/>
        <v>24086386330.00676</v>
      </c>
      <c r="CD8" s="1233">
        <f t="shared" si="28"/>
        <v>561527346279.0343</v>
      </c>
      <c r="CE8" s="1223">
        <f t="shared" si="28"/>
        <v>870351934498.50281</v>
      </c>
      <c r="CF8" s="1241">
        <f t="shared" ref="CF8:CF16" si="29">CE8/AB8</f>
        <v>9.5449720536748814E-2</v>
      </c>
      <c r="CH8" s="1240">
        <f t="shared" ref="CH8" si="30">SUM(CH9:CH16)</f>
        <v>8024674294846.459</v>
      </c>
      <c r="CI8" s="1202">
        <f t="shared" ref="CI8:CI16" si="31">CH8/AB8</f>
        <v>0.88004965403204261</v>
      </c>
      <c r="CK8" s="1246"/>
      <c r="CL8" s="1392">
        <f t="shared" ref="CL8" si="32">SUM(CL9:CL16)</f>
        <v>1093759259533.7367</v>
      </c>
      <c r="CM8" s="1247"/>
      <c r="CO8" s="1250"/>
      <c r="CP8" s="1247"/>
    </row>
    <row r="9" spans="1:94">
      <c r="A9" s="1171">
        <v>1</v>
      </c>
      <c r="B9" s="1181">
        <f>'04c_Resumen_MO'!B6</f>
        <v>17268.248534736002</v>
      </c>
      <c r="C9" s="1140">
        <f>'04c_Resumen_MO'!F6</f>
        <v>12991.359347873164</v>
      </c>
      <c r="D9" s="1140">
        <f>'04c_Resumen_MO'!G6</f>
        <v>4276.889186862838</v>
      </c>
      <c r="E9" s="1140">
        <f>'04c_Resumen_MO'!I6</f>
        <v>2921.1364674728761</v>
      </c>
      <c r="F9" s="1140">
        <f>SUM(G9:N9)</f>
        <v>78762.823479030529</v>
      </c>
      <c r="G9" s="1140">
        <f>'08_ATC_por_USOS'!I7</f>
        <v>0</v>
      </c>
      <c r="H9" s="1140">
        <f>'08_ATC_por_USOS'!M7</f>
        <v>9486.5399941323667</v>
      </c>
      <c r="I9" s="1140">
        <f>'08_ATC_por_USOS'!Q7</f>
        <v>0</v>
      </c>
      <c r="J9" s="1140">
        <f>'08_ATC_por_USOS'!U7</f>
        <v>69276.283484898158</v>
      </c>
      <c r="K9" s="1140">
        <f>'08_ATC_por_USOS'!Y7</f>
        <v>0</v>
      </c>
      <c r="L9" s="1140">
        <f>'08_ATC_por_USOS'!BA7</f>
        <v>0</v>
      </c>
      <c r="M9" s="1140">
        <f>'08_ATC_por_USOS'!BE7</f>
        <v>0</v>
      </c>
      <c r="N9" s="1140">
        <f>'08_ATC_por_USOS'!BO7</f>
        <v>0</v>
      </c>
      <c r="O9" s="1140">
        <f>'11_Estacionamientos'!S9</f>
        <v>158</v>
      </c>
      <c r="P9" s="1141">
        <f>SUM(G9:N9)</f>
        <v>78762.823479030529</v>
      </c>
      <c r="Q9" s="1102"/>
      <c r="R9" s="930">
        <f t="shared" ref="R9:Y16" si="33">G9*R$3</f>
        <v>0</v>
      </c>
      <c r="S9" s="930">
        <f t="shared" si="33"/>
        <v>71149049955.992752</v>
      </c>
      <c r="T9" s="930">
        <f t="shared" si="33"/>
        <v>0</v>
      </c>
      <c r="U9" s="930">
        <f t="shared" si="33"/>
        <v>831315401818.77795</v>
      </c>
      <c r="V9" s="930">
        <f t="shared" si="33"/>
        <v>0</v>
      </c>
      <c r="W9" s="930">
        <f t="shared" si="33"/>
        <v>0</v>
      </c>
      <c r="X9" s="930">
        <f t="shared" si="33"/>
        <v>0</v>
      </c>
      <c r="Y9" s="930">
        <f t="shared" si="33"/>
        <v>0</v>
      </c>
      <c r="Z9" s="930">
        <f t="shared" ref="Z9:Z16" si="34">SUM(R9:Y9)</f>
        <v>902464451774.77075</v>
      </c>
      <c r="AA9" s="930">
        <f t="shared" ref="AA9:AA16" si="35">O9*AA$3</f>
        <v>7900000000</v>
      </c>
      <c r="AB9" s="1216">
        <f>SUM(Z9:AA9)</f>
        <v>910364451774.77075</v>
      </c>
      <c r="AC9" s="1182">
        <f>AB9/AB$8</f>
        <v>9.983781165323749E-2</v>
      </c>
      <c r="AE9" s="968">
        <f>'08_ATC_por_USOS'!G7</f>
        <v>0</v>
      </c>
      <c r="AF9" s="929">
        <f>'08_ATC_por_USOS'!K7</f>
        <v>12806.828992078696</v>
      </c>
      <c r="AG9" s="929">
        <f>'08_ATC_por_USOS'!O7</f>
        <v>0</v>
      </c>
      <c r="AH9" s="929">
        <f>'08_ATC_por_USOS'!S7</f>
        <v>93522.982704612499</v>
      </c>
      <c r="AI9" s="929">
        <f>'08_ATC_por_USOS'!W7</f>
        <v>0</v>
      </c>
      <c r="AJ9" s="929">
        <f>'08_ATC_por_USOS'!AY7</f>
        <v>0</v>
      </c>
      <c r="AK9" s="929">
        <f>'08_ATC_por_USOS'!BC7</f>
        <v>0</v>
      </c>
      <c r="AL9" s="929">
        <f>'08_ATC_por_USOS'!BM7</f>
        <v>0</v>
      </c>
      <c r="AM9" s="929">
        <f>SUM(AE9:AL9)</f>
        <v>106329.81169669119</v>
      </c>
      <c r="AN9" s="929">
        <f>'11_Estacionamientos'!K9</f>
        <v>7876.2823479030531</v>
      </c>
      <c r="AO9" s="929">
        <f>'13b_ECP'!T6</f>
        <v>6033.7408196524193</v>
      </c>
      <c r="AP9" s="929">
        <f>SUM(AE9:AO9)</f>
        <v>226569.64656093786</v>
      </c>
      <c r="AQ9" s="961">
        <f>D9</f>
        <v>4276.889186862838</v>
      </c>
      <c r="AS9" s="1192">
        <f>AE9*$AS$6</f>
        <v>0</v>
      </c>
      <c r="AT9" s="930">
        <f>AF9*$AT$6</f>
        <v>33617926104.206577</v>
      </c>
      <c r="AU9" s="930">
        <f>AG9*$AU$6</f>
        <v>0</v>
      </c>
      <c r="AV9" s="930">
        <f>AH9*$AV$6</f>
        <v>392796527359.3725</v>
      </c>
      <c r="AW9" s="930">
        <f>AI9*$AW$6</f>
        <v>0</v>
      </c>
      <c r="AX9" s="930">
        <f>AJ9*$AX$6</f>
        <v>0</v>
      </c>
      <c r="AY9" s="930">
        <f>AK9*$AY$6</f>
        <v>0</v>
      </c>
      <c r="AZ9" s="930">
        <f>AL9*$AZ$6</f>
        <v>0</v>
      </c>
      <c r="BA9" s="919">
        <f>SUM(AS9:AZ9)</f>
        <v>426414453463.5791</v>
      </c>
      <c r="BB9" s="930">
        <f>AN9*$BB$6</f>
        <v>12602051756.644884</v>
      </c>
      <c r="BC9" s="930">
        <f>AO9*$BC$6</f>
        <v>20363875266.326916</v>
      </c>
      <c r="BD9" s="1142">
        <f>AQ9*$BD$6</f>
        <v>855377837.37256753</v>
      </c>
      <c r="BE9" s="1221">
        <f>SUM(BA9:BD9)</f>
        <v>460235758323.92346</v>
      </c>
      <c r="BF9" s="1193">
        <f t="shared" si="25"/>
        <v>0.50555110914830448</v>
      </c>
      <c r="BH9" s="1203">
        <f t="shared" ref="BH9:BH16" si="36">AB9*$BH$5</f>
        <v>182072890354.95416</v>
      </c>
      <c r="BI9" s="1144">
        <f>'05c_Resumen_MORADORES'!G5</f>
        <v>0</v>
      </c>
      <c r="BJ9" s="930">
        <f>'06_CARGAS'!W8</f>
        <v>20317955283.753803</v>
      </c>
      <c r="BK9" s="1144">
        <f>'15_Reparto_C&amp;B'!AM8</f>
        <v>0</v>
      </c>
      <c r="BL9" s="1144">
        <f>'15_Reparto_C&amp;B'!AN8</f>
        <v>0</v>
      </c>
      <c r="BM9" s="1144">
        <f>'15_Reparto_C&amp;B'!AO8</f>
        <v>0</v>
      </c>
      <c r="BN9" s="1144">
        <f>'15_Reparto_C&amp;B'!AL8</f>
        <v>0</v>
      </c>
      <c r="BO9" s="1144">
        <f>'15_Reparto_C&amp;B'!AG8</f>
        <v>-5934415567.1865692</v>
      </c>
      <c r="BP9" s="1144">
        <f>'09_CARGA_VISVIP'!R6</f>
        <v>7016349841.1589966</v>
      </c>
      <c r="BQ9" s="1144">
        <f>-'09_CARGA_VISVIP'!Z6</f>
        <v>0</v>
      </c>
      <c r="BR9" s="1212">
        <f>SUM(BH9:BQ9)</f>
        <v>203472779912.68042</v>
      </c>
      <c r="BS9" s="1204">
        <f t="shared" si="27"/>
        <v>0.22350694770210636</v>
      </c>
      <c r="BT9" s="1227"/>
      <c r="BU9" s="1231">
        <f t="shared" ref="BU9:BU16" si="37">SUM(BE9,BR9)</f>
        <v>663708538236.60388</v>
      </c>
      <c r="BV9" s="1236"/>
      <c r="BW9" s="1242">
        <f t="shared" ref="BW9:BW16" si="38">R9*$BW$5</f>
        <v>0</v>
      </c>
      <c r="BX9" s="1146">
        <f t="shared" ref="BX9:BX16" si="39">S9*$BX$5</f>
        <v>6403414496.0393476</v>
      </c>
      <c r="BY9" s="1146">
        <f t="shared" ref="BY9:BY16" si="40">T9*$BY$5</f>
        <v>0</v>
      </c>
      <c r="BZ9" s="1146">
        <f t="shared" ref="BZ9:BZ16" si="41">U9*$BZ$5</f>
        <v>74818386163.690018</v>
      </c>
      <c r="CA9" s="1146">
        <f t="shared" ref="CA9:CA16" si="42">V9*$CA$5</f>
        <v>0</v>
      </c>
      <c r="CB9" s="1146">
        <f t="shared" ref="CB9:CB16" si="43">W9*$CB$5</f>
        <v>0</v>
      </c>
      <c r="CC9" s="1146">
        <f t="shared" ref="CC9:CC16" si="44">X9*$CC$5</f>
        <v>0</v>
      </c>
      <c r="CD9" s="1146">
        <f t="shared" ref="CD9:CD16" si="45">Y9*$CD$5</f>
        <v>0</v>
      </c>
      <c r="CE9" s="1234">
        <f>SUM(BW9:CD9)</f>
        <v>81221800659.72937</v>
      </c>
      <c r="CF9" s="972">
        <f t="shared" si="29"/>
        <v>8.9218994108772709E-2</v>
      </c>
      <c r="CH9" s="1203">
        <f t="shared" ref="CH9:CH16" si="46">SUM(BE9,BR9,CE9)</f>
        <v>744930338896.33325</v>
      </c>
      <c r="CI9" s="1204">
        <f t="shared" si="31"/>
        <v>0.81827705095918357</v>
      </c>
      <c r="CK9" s="1248">
        <f>1-CI9</f>
        <v>0.18172294904081643</v>
      </c>
      <c r="CL9" s="930">
        <f t="shared" ref="CL9:CL16" si="47">CK9*AB9</f>
        <v>165434112878.43744</v>
      </c>
      <c r="CM9" s="937">
        <f t="shared" ref="CM9:CM16" si="48">CL9/B9</f>
        <v>9580248.5437743105</v>
      </c>
      <c r="CN9" s="1147"/>
      <c r="CO9" s="1192">
        <f>'00_Datos_General'!$C$23</f>
        <v>3535000</v>
      </c>
      <c r="CP9" s="1251">
        <f>CM9-CO9</f>
        <v>6045248.5437743105</v>
      </c>
    </row>
    <row r="10" spans="1:94">
      <c r="A10" s="1171">
        <v>2</v>
      </c>
      <c r="B10" s="1181">
        <f>'04c_Resumen_MO'!B7</f>
        <v>15602.531511536001</v>
      </c>
      <c r="C10" s="1140">
        <f>'04c_Resumen_MO'!F7</f>
        <v>8702.187611575433</v>
      </c>
      <c r="D10" s="1140">
        <f>'04c_Resumen_MO'!G7</f>
        <v>6900.3438999605678</v>
      </c>
      <c r="E10" s="1140">
        <f>'04c_Resumen_MO'!I7</f>
        <v>5092.7723828413127</v>
      </c>
      <c r="F10" s="1140">
        <f t="shared" ref="F10:F16" si="49">SUM(G10:N10)</f>
        <v>149403.09583164763</v>
      </c>
      <c r="G10" s="1140">
        <f>'08_ATC_por_USOS'!I8</f>
        <v>3257.5685120599983</v>
      </c>
      <c r="H10" s="1140">
        <f>'08_ATC_por_USOS'!M8</f>
        <v>12992.858240882862</v>
      </c>
      <c r="I10" s="1140">
        <f>'08_ATC_por_USOS'!Q8</f>
        <v>0</v>
      </c>
      <c r="J10" s="1140">
        <f>'08_ATC_por_USOS'!U8</f>
        <v>0</v>
      </c>
      <c r="K10" s="1140">
        <f>'08_ATC_por_USOS'!Y8</f>
        <v>0</v>
      </c>
      <c r="L10" s="1140">
        <f>'08_ATC_por_USOS'!BA8</f>
        <v>12559.874312714555</v>
      </c>
      <c r="M10" s="1140">
        <f>'08_ATC_por_USOS'!BE8</f>
        <v>9419.9057345359179</v>
      </c>
      <c r="N10" s="1140">
        <f>'08_ATC_por_USOS'!BO8</f>
        <v>111172.8890314543</v>
      </c>
      <c r="O10" s="1140">
        <f>'11_Estacionamientos'!S10</f>
        <v>418</v>
      </c>
      <c r="P10" s="1141">
        <f t="shared" ref="P10:P16" si="50">SUM(G10:N10)</f>
        <v>149403.09583164763</v>
      </c>
      <c r="Q10" s="1102"/>
      <c r="R10" s="930">
        <f t="shared" si="33"/>
        <v>21174195328.389988</v>
      </c>
      <c r="S10" s="930">
        <f t="shared" si="33"/>
        <v>97446436806.621475</v>
      </c>
      <c r="T10" s="930">
        <f t="shared" si="33"/>
        <v>0</v>
      </c>
      <c r="U10" s="930">
        <f t="shared" si="33"/>
        <v>0</v>
      </c>
      <c r="V10" s="930">
        <f t="shared" si="33"/>
        <v>0</v>
      </c>
      <c r="W10" s="930">
        <f t="shared" si="33"/>
        <v>80176055799.23143</v>
      </c>
      <c r="X10" s="930">
        <f t="shared" si="33"/>
        <v>35342914393.1306</v>
      </c>
      <c r="Y10" s="930">
        <f t="shared" si="33"/>
        <v>833796667735.90723</v>
      </c>
      <c r="Z10" s="930">
        <f t="shared" si="34"/>
        <v>1067936270063.2808</v>
      </c>
      <c r="AA10" s="930">
        <f t="shared" si="35"/>
        <v>20900000000</v>
      </c>
      <c r="AB10" s="1159">
        <f t="shared" ref="AB10:AB16" si="51">SUM(Z10:AA10)</f>
        <v>1088836270063.2808</v>
      </c>
      <c r="AC10" s="1182">
        <f t="shared" ref="AC10:AC16" si="52">AB10/AB$8</f>
        <v>0.11941045175903482</v>
      </c>
      <c r="AE10" s="968">
        <f>'08_ATC_por_USOS'!G8</f>
        <v>4234.8390656779975</v>
      </c>
      <c r="AF10" s="929">
        <f>'08_ATC_por_USOS'!K8</f>
        <v>17540.358625191864</v>
      </c>
      <c r="AG10" s="929">
        <f>'08_ATC_por_USOS'!O8</f>
        <v>0</v>
      </c>
      <c r="AH10" s="929">
        <f>'08_ATC_por_USOS'!S8</f>
        <v>0</v>
      </c>
      <c r="AI10" s="929">
        <f>'08_ATC_por_USOS'!W8</f>
        <v>0</v>
      </c>
      <c r="AJ10" s="929">
        <f>'08_ATC_por_USOS'!AY8</f>
        <v>15071.849175257466</v>
      </c>
      <c r="AK10" s="929">
        <f>'08_ATC_por_USOS'!BC8</f>
        <v>11303.886881443101</v>
      </c>
      <c r="AL10" s="929">
        <f>'08_ATC_por_USOS'!BM8</f>
        <v>133407.46683774516</v>
      </c>
      <c r="AM10" s="929">
        <f t="shared" ref="AM10:AM16" si="53">SUM(AE10:AL10)</f>
        <v>181558.4005853156</v>
      </c>
      <c r="AN10" s="929">
        <f>'11_Estacionamientos'!K10</f>
        <v>14940.309583164764</v>
      </c>
      <c r="AO10" s="929">
        <f>'13b_ECP'!T7</f>
        <v>10308.593735125532</v>
      </c>
      <c r="AP10" s="929">
        <f t="shared" ref="AP10:AP16" si="54">SUM(AE10:AO10)</f>
        <v>388365.7044889215</v>
      </c>
      <c r="AQ10" s="961">
        <f t="shared" ref="AQ10:AQ16" si="55">D10</f>
        <v>6900.3438999605678</v>
      </c>
      <c r="AS10" s="1192">
        <f t="shared" ref="AS10:AS16" si="56">AE10*$AS$6</f>
        <v>9634258874.4174442</v>
      </c>
      <c r="AT10" s="930">
        <f t="shared" ref="AT10:AT16" si="57">AF10*$AT$6</f>
        <v>46043441391.128647</v>
      </c>
      <c r="AU10" s="930">
        <f t="shared" ref="AU10:AU16" si="58">AG10*$AU$6</f>
        <v>0</v>
      </c>
      <c r="AV10" s="930">
        <f t="shared" ref="AV10:AV16" si="59">AH10*$AV$6</f>
        <v>0</v>
      </c>
      <c r="AW10" s="930">
        <f t="shared" ref="AW10:AW16" si="60">AI10*$AW$6</f>
        <v>0</v>
      </c>
      <c r="AX10" s="930">
        <f t="shared" ref="AX10:AX16" si="61">AJ10*$AX$6</f>
        <v>43295070131.584976</v>
      </c>
      <c r="AY10" s="930">
        <f t="shared" ref="AY10:AY16" si="62">AK10*$AY$6</f>
        <v>19085173772.29052</v>
      </c>
      <c r="AZ10" s="930">
        <f t="shared" ref="AZ10:AZ16" si="63">AL10*$AZ$6</f>
        <v>450250200577.38989</v>
      </c>
      <c r="BA10" s="919">
        <f t="shared" ref="BA10:BA16" si="64">SUM(AS10:AZ10)</f>
        <v>568308144746.81152</v>
      </c>
      <c r="BB10" s="930">
        <f t="shared" ref="BB10:BB16" si="65">AN10*$BB$6</f>
        <v>23904495333.063622</v>
      </c>
      <c r="BC10" s="930">
        <f t="shared" ref="BC10:BC16" si="66">AO10*$BC$6</f>
        <v>34791503856.048676</v>
      </c>
      <c r="BD10" s="1142">
        <f t="shared" ref="BD10:BD16" si="67">AQ10*$BD$6</f>
        <v>1380068779.9921136</v>
      </c>
      <c r="BE10" s="1143">
        <f t="shared" ref="BE10:BE16" si="68">SUM(BA10:BD10)</f>
        <v>628384212715.91589</v>
      </c>
      <c r="BF10" s="1193">
        <f t="shared" si="25"/>
        <v>0.57711543047642566</v>
      </c>
      <c r="BH10" s="1203">
        <f t="shared" si="36"/>
        <v>217767254012.65616</v>
      </c>
      <c r="BI10" s="1144">
        <f>'05c_Resumen_MORADORES'!G6</f>
        <v>463444934.58942008</v>
      </c>
      <c r="BJ10" s="930">
        <f>'06_CARGAS'!W9</f>
        <v>7475265822.7276478</v>
      </c>
      <c r="BK10" s="1144">
        <f>'15_Reparto_C&amp;B'!AM9</f>
        <v>585422153.7604264</v>
      </c>
      <c r="BL10" s="1144">
        <f>'15_Reparto_C&amp;B'!AN9</f>
        <v>3292999614.9023991</v>
      </c>
      <c r="BM10" s="1144">
        <f>'15_Reparto_C&amp;B'!AO9</f>
        <v>8866000470.1663036</v>
      </c>
      <c r="BN10" s="1144">
        <f>'15_Reparto_C&amp;B'!AL9</f>
        <v>14839159892.536135</v>
      </c>
      <c r="BO10" s="1144">
        <f>'15_Reparto_C&amp;B'!AG9</f>
        <v>0</v>
      </c>
      <c r="BP10" s="1144">
        <f>'09_CARGA_VISVIP'!R7</f>
        <v>0</v>
      </c>
      <c r="BQ10" s="1144">
        <f>-'09_CARGA_VISVIP'!Z7</f>
        <v>-2207124373.0447302</v>
      </c>
      <c r="BR10" s="1145">
        <f t="shared" ref="BR10:BR16" si="69">SUM(BH10:BQ10)</f>
        <v>251082422528.29376</v>
      </c>
      <c r="BS10" s="1204">
        <f t="shared" si="27"/>
        <v>0.23059704147594332</v>
      </c>
      <c r="BT10" s="1227"/>
      <c r="BU10" s="1231">
        <f t="shared" si="37"/>
        <v>879466635244.20972</v>
      </c>
      <c r="BV10" s="1236"/>
      <c r="BW10" s="1242">
        <f t="shared" si="38"/>
        <v>1905677579.5550988</v>
      </c>
      <c r="BX10" s="1146">
        <f t="shared" si="39"/>
        <v>8770179312.595932</v>
      </c>
      <c r="BY10" s="1146">
        <f t="shared" si="40"/>
        <v>0</v>
      </c>
      <c r="BZ10" s="1146">
        <f t="shared" si="41"/>
        <v>0</v>
      </c>
      <c r="CA10" s="1146">
        <f t="shared" si="42"/>
        <v>0</v>
      </c>
      <c r="CB10" s="1146">
        <f t="shared" si="43"/>
        <v>8017605579.9231434</v>
      </c>
      <c r="CC10" s="1146">
        <f t="shared" si="44"/>
        <v>3534291439.3130603</v>
      </c>
      <c r="CD10" s="1146">
        <f t="shared" si="45"/>
        <v>83379666773.590729</v>
      </c>
      <c r="CE10" s="1146">
        <f t="shared" ref="CE10:CE16" si="70">SUM(BW10:CD10)</f>
        <v>105607420684.97797</v>
      </c>
      <c r="CF10" s="972">
        <f t="shared" si="29"/>
        <v>9.699109369202065E-2</v>
      </c>
      <c r="CH10" s="1203">
        <f t="shared" si="46"/>
        <v>985074055929.18774</v>
      </c>
      <c r="CI10" s="1204">
        <f t="shared" si="31"/>
        <v>0.9047035656443897</v>
      </c>
      <c r="CK10" s="1248">
        <f t="shared" ref="CK10:CK16" si="71">1-CI10</f>
        <v>9.5296434355610304E-2</v>
      </c>
      <c r="CL10" s="930">
        <f t="shared" si="47"/>
        <v>103762214134.093</v>
      </c>
      <c r="CM10" s="937">
        <f t="shared" si="48"/>
        <v>6650344.7890731459</v>
      </c>
      <c r="CN10" s="1147"/>
      <c r="CO10" s="1192">
        <f>'00_Datos_General'!$C$23</f>
        <v>3535000</v>
      </c>
      <c r="CP10" s="1251">
        <f t="shared" ref="CP10:CP16" si="72">CM10-CO10</f>
        <v>3115344.7890731459</v>
      </c>
    </row>
    <row r="11" spans="1:94">
      <c r="A11" s="1171">
        <v>3</v>
      </c>
      <c r="B11" s="1181">
        <f>'04c_Resumen_MO'!B8</f>
        <v>19436.47454042</v>
      </c>
      <c r="C11" s="1140">
        <f>'04c_Resumen_MO'!F8</f>
        <v>12077.36637883454</v>
      </c>
      <c r="D11" s="1140">
        <f>'04c_Resumen_MO'!G8</f>
        <v>7359.10816158546</v>
      </c>
      <c r="E11" s="1140">
        <f>'04c_Resumen_MO'!I8</f>
        <v>5431.80275334625</v>
      </c>
      <c r="F11" s="1140">
        <f t="shared" si="49"/>
        <v>157162.77496128494</v>
      </c>
      <c r="G11" s="1140">
        <f>'08_ATC_por_USOS'!I9</f>
        <v>2972.6975798711569</v>
      </c>
      <c r="H11" s="1140">
        <f>'08_ATC_por_USOS'!M9</f>
        <v>14268.307533825875</v>
      </c>
      <c r="I11" s="1140">
        <f>'08_ATC_por_USOS'!Q9</f>
        <v>0</v>
      </c>
      <c r="J11" s="1140">
        <f>'08_ATC_por_USOS'!U9</f>
        <v>0</v>
      </c>
      <c r="K11" s="1140">
        <f>'08_ATC_por_USOS'!Y9</f>
        <v>0</v>
      </c>
      <c r="L11" s="1140">
        <f>'08_ATC_por_USOS'!BA9</f>
        <v>13214.003916190679</v>
      </c>
      <c r="M11" s="1140">
        <f>'08_ATC_por_USOS'!BE9</f>
        <v>9910.5029371430101</v>
      </c>
      <c r="N11" s="1140">
        <f>'08_ATC_por_USOS'!BO9</f>
        <v>116797.26299425424</v>
      </c>
      <c r="O11" s="1140">
        <f>'11_Estacionamientos'!S11</f>
        <v>440</v>
      </c>
      <c r="P11" s="1141">
        <f t="shared" si="50"/>
        <v>157162.77496128494</v>
      </c>
      <c r="Q11" s="1102"/>
      <c r="R11" s="930">
        <f t="shared" si="33"/>
        <v>19322534269.162521</v>
      </c>
      <c r="S11" s="930">
        <f t="shared" si="33"/>
        <v>107012306503.69406</v>
      </c>
      <c r="T11" s="930">
        <f t="shared" si="33"/>
        <v>0</v>
      </c>
      <c r="U11" s="930">
        <f t="shared" si="33"/>
        <v>0</v>
      </c>
      <c r="V11" s="930">
        <f t="shared" si="33"/>
        <v>0</v>
      </c>
      <c r="W11" s="930">
        <f t="shared" si="33"/>
        <v>84351697233.408798</v>
      </c>
      <c r="X11" s="930">
        <f t="shared" si="33"/>
        <v>37183605311.05368</v>
      </c>
      <c r="Y11" s="930">
        <f t="shared" si="33"/>
        <v>875979472456.90686</v>
      </c>
      <c r="Z11" s="930">
        <f t="shared" si="34"/>
        <v>1123849615774.2258</v>
      </c>
      <c r="AA11" s="930">
        <f t="shared" si="35"/>
        <v>22000000000</v>
      </c>
      <c r="AB11" s="1159">
        <f t="shared" si="51"/>
        <v>1145849615774.2258</v>
      </c>
      <c r="AC11" s="1182">
        <f t="shared" si="52"/>
        <v>0.12566298903651027</v>
      </c>
      <c r="AE11" s="968">
        <f>'08_ATC_por_USOS'!G9</f>
        <v>3864.506853832504</v>
      </c>
      <c r="AF11" s="929">
        <f>'08_ATC_por_USOS'!K9</f>
        <v>19262.215170664931</v>
      </c>
      <c r="AG11" s="929">
        <f>'08_ATC_por_USOS'!O9</f>
        <v>0</v>
      </c>
      <c r="AH11" s="929">
        <f>'08_ATC_por_USOS'!S9</f>
        <v>0</v>
      </c>
      <c r="AI11" s="929">
        <f>'08_ATC_por_USOS'!W9</f>
        <v>0</v>
      </c>
      <c r="AJ11" s="929">
        <f>'08_ATC_por_USOS'!AY9</f>
        <v>15856.804699428814</v>
      </c>
      <c r="AK11" s="929">
        <f>'08_ATC_por_USOS'!BC9</f>
        <v>11892.603524571612</v>
      </c>
      <c r="AL11" s="929">
        <f>'08_ATC_por_USOS'!BM9</f>
        <v>140156.71559310509</v>
      </c>
      <c r="AM11" s="929">
        <f t="shared" si="53"/>
        <v>191032.84584160295</v>
      </c>
      <c r="AN11" s="929">
        <f>'11_Estacionamientos'!K11</f>
        <v>15716.277496128496</v>
      </c>
      <c r="AO11" s="929">
        <f>'13b_ECP'!T8</f>
        <v>10832.653149490679</v>
      </c>
      <c r="AP11" s="929">
        <f t="shared" si="54"/>
        <v>408614.62232882506</v>
      </c>
      <c r="AQ11" s="961">
        <f t="shared" si="55"/>
        <v>7359.10816158546</v>
      </c>
      <c r="AS11" s="1192">
        <f t="shared" si="56"/>
        <v>8791753092.4689465</v>
      </c>
      <c r="AT11" s="930">
        <f t="shared" si="57"/>
        <v>50563314822.995445</v>
      </c>
      <c r="AU11" s="930">
        <f t="shared" si="58"/>
        <v>0</v>
      </c>
      <c r="AV11" s="930">
        <f t="shared" si="59"/>
        <v>0</v>
      </c>
      <c r="AW11" s="930">
        <f t="shared" si="60"/>
        <v>0</v>
      </c>
      <c r="AX11" s="930">
        <f t="shared" si="61"/>
        <v>45549916506.040749</v>
      </c>
      <c r="AY11" s="930">
        <f t="shared" si="62"/>
        <v>20079146867.968987</v>
      </c>
      <c r="AZ11" s="930">
        <f t="shared" si="63"/>
        <v>473028915126.72968</v>
      </c>
      <c r="BA11" s="919">
        <f t="shared" si="64"/>
        <v>598013046416.20386</v>
      </c>
      <c r="BB11" s="930">
        <f t="shared" si="65"/>
        <v>25146043993.805592</v>
      </c>
      <c r="BC11" s="930">
        <f t="shared" si="66"/>
        <v>36560204379.531044</v>
      </c>
      <c r="BD11" s="1142">
        <f t="shared" si="67"/>
        <v>1471821632.3170919</v>
      </c>
      <c r="BE11" s="1143">
        <f t="shared" si="68"/>
        <v>661191116421.85754</v>
      </c>
      <c r="BF11" s="1193">
        <f t="shared" si="25"/>
        <v>0.57703132009614111</v>
      </c>
      <c r="BH11" s="1203">
        <f t="shared" si="36"/>
        <v>229169923154.84518</v>
      </c>
      <c r="BI11" s="1144">
        <f>'05c_Resumen_MORADORES'!G7</f>
        <v>828278919.13704014</v>
      </c>
      <c r="BJ11" s="930">
        <f>'06_CARGAS'!W10</f>
        <v>14389859310.805607</v>
      </c>
      <c r="BK11" s="1144">
        <f>'15_Reparto_C&amp;B'!AM10</f>
        <v>251281793.77574566</v>
      </c>
      <c r="BL11" s="1144">
        <f>'15_Reparto_C&amp;B'!AN10</f>
        <v>1413460089.9885697</v>
      </c>
      <c r="BM11" s="1144">
        <f>'15_Reparto_C&amp;B'!AO10</f>
        <v>3805569173.3724632</v>
      </c>
      <c r="BN11" s="1144">
        <f>'15_Reparto_C&amp;B'!AL10</f>
        <v>6369439031.252532</v>
      </c>
      <c r="BO11" s="1144">
        <f>'15_Reparto_C&amp;B'!AG10</f>
        <v>0</v>
      </c>
      <c r="BP11" s="1144">
        <f>'09_CARGA_VISVIP'!R8</f>
        <v>0</v>
      </c>
      <c r="BQ11" s="1144">
        <f>-'09_CARGA_VISVIP'!Z8</f>
        <v>-2322073404.7799182</v>
      </c>
      <c r="BR11" s="1145">
        <f t="shared" si="69"/>
        <v>253905738068.39725</v>
      </c>
      <c r="BS11" s="1204">
        <f t="shared" si="27"/>
        <v>0.22158731352965427</v>
      </c>
      <c r="BT11" s="1227"/>
      <c r="BU11" s="1231">
        <f t="shared" si="37"/>
        <v>915096854490.25476</v>
      </c>
      <c r="BV11" s="1236"/>
      <c r="BW11" s="1242">
        <f t="shared" si="38"/>
        <v>1739028084.2246268</v>
      </c>
      <c r="BX11" s="1146">
        <f t="shared" si="39"/>
        <v>9631107585.3324642</v>
      </c>
      <c r="BY11" s="1146">
        <f t="shared" si="40"/>
        <v>0</v>
      </c>
      <c r="BZ11" s="1146">
        <f t="shared" si="41"/>
        <v>0</v>
      </c>
      <c r="CA11" s="1146">
        <f t="shared" si="42"/>
        <v>0</v>
      </c>
      <c r="CB11" s="1146">
        <f t="shared" si="43"/>
        <v>8435169723.3408804</v>
      </c>
      <c r="CC11" s="1146">
        <f t="shared" si="44"/>
        <v>3718360531.1053681</v>
      </c>
      <c r="CD11" s="1146">
        <f t="shared" si="45"/>
        <v>87597947245.690689</v>
      </c>
      <c r="CE11" s="1146">
        <f t="shared" si="70"/>
        <v>111121613169.69403</v>
      </c>
      <c r="CF11" s="972">
        <f t="shared" si="29"/>
        <v>9.6977484339959882E-2</v>
      </c>
      <c r="CH11" s="1203">
        <f t="shared" si="46"/>
        <v>1026218467659.9487</v>
      </c>
      <c r="CI11" s="1204">
        <f t="shared" si="31"/>
        <v>0.89559611796575511</v>
      </c>
      <c r="CK11" s="1248">
        <f t="shared" si="71"/>
        <v>0.10440388203424489</v>
      </c>
      <c r="CL11" s="930">
        <f t="shared" si="47"/>
        <v>119631148114.2771</v>
      </c>
      <c r="CM11" s="937">
        <f t="shared" si="48"/>
        <v>6154981.8546307217</v>
      </c>
      <c r="CN11" s="1147"/>
      <c r="CO11" s="1192">
        <f>'00_Datos_General'!$C$23</f>
        <v>3535000</v>
      </c>
      <c r="CP11" s="1251">
        <f t="shared" si="72"/>
        <v>2619981.8546307217</v>
      </c>
    </row>
    <row r="12" spans="1:94">
      <c r="A12" s="1171">
        <v>4</v>
      </c>
      <c r="B12" s="1181">
        <f>'04c_Resumen_MO'!B9</f>
        <v>25621.213912839001</v>
      </c>
      <c r="C12" s="1140">
        <f>'04c_Resumen_MO'!F9</f>
        <v>15182.673262073222</v>
      </c>
      <c r="D12" s="1140">
        <f>'04c_Resumen_MO'!G9</f>
        <v>10438.540650765779</v>
      </c>
      <c r="E12" s="1140">
        <f>'04c_Resumen_MO'!I9</f>
        <v>8133.4699118704657</v>
      </c>
      <c r="F12" s="1140">
        <f t="shared" si="49"/>
        <v>224930.2752019013</v>
      </c>
      <c r="G12" s="1140">
        <f>'08_ATC_por_USOS'!I10</f>
        <v>4336.8338839709186</v>
      </c>
      <c r="H12" s="1140">
        <f>'08_ATC_por_USOS'!M10</f>
        <v>17149.886182631148</v>
      </c>
      <c r="I12" s="1140">
        <f>'08_ATC_por_USOS'!Q10</f>
        <v>3625.1465066750798</v>
      </c>
      <c r="J12" s="1140">
        <f>'08_ATC_por_USOS'!U10</f>
        <v>0</v>
      </c>
      <c r="K12" s="1140">
        <f>'08_ATC_por_USOS'!Y10</f>
        <v>0</v>
      </c>
      <c r="L12" s="1140">
        <f>'08_ATC_por_USOS'!BA10</f>
        <v>18917.142977672353</v>
      </c>
      <c r="M12" s="1140">
        <f>'08_ATC_por_USOS'!BE10</f>
        <v>14187.857233254264</v>
      </c>
      <c r="N12" s="1140">
        <f>'08_ATC_por_USOS'!BO10</f>
        <v>166713.40841769753</v>
      </c>
      <c r="O12" s="1140">
        <f>'11_Estacionamientos'!S12</f>
        <v>630</v>
      </c>
      <c r="P12" s="1141">
        <f t="shared" si="50"/>
        <v>224930.2752019013</v>
      </c>
      <c r="Q12" s="1102"/>
      <c r="R12" s="930">
        <f t="shared" si="33"/>
        <v>28189420245.81097</v>
      </c>
      <c r="S12" s="930">
        <f t="shared" si="33"/>
        <v>128624146369.73361</v>
      </c>
      <c r="T12" s="930">
        <f t="shared" si="33"/>
        <v>10875439520.02524</v>
      </c>
      <c r="U12" s="930">
        <f t="shared" si="33"/>
        <v>0</v>
      </c>
      <c r="V12" s="930">
        <f t="shared" si="33"/>
        <v>0</v>
      </c>
      <c r="W12" s="930">
        <f t="shared" si="33"/>
        <v>120757729988.15097</v>
      </c>
      <c r="X12" s="930">
        <f t="shared" si="33"/>
        <v>53231978933.552269</v>
      </c>
      <c r="Y12" s="930">
        <f t="shared" si="33"/>
        <v>1250350563132.7314</v>
      </c>
      <c r="Z12" s="930">
        <f t="shared" si="34"/>
        <v>1592029278190.0044</v>
      </c>
      <c r="AA12" s="930">
        <f t="shared" si="35"/>
        <v>31500000000</v>
      </c>
      <c r="AB12" s="1159">
        <f t="shared" si="51"/>
        <v>1623529278190.0044</v>
      </c>
      <c r="AC12" s="1182">
        <f t="shared" si="52"/>
        <v>0.17804914281687279</v>
      </c>
      <c r="AE12" s="968">
        <f>'08_ATC_por_USOS'!G10</f>
        <v>5637.8840491621941</v>
      </c>
      <c r="AF12" s="929">
        <f>'08_ATC_por_USOS'!K10</f>
        <v>23152.346346552051</v>
      </c>
      <c r="AG12" s="929">
        <f>'08_ATC_por_USOS'!O10</f>
        <v>5437.7197600126192</v>
      </c>
      <c r="AH12" s="929">
        <f>'08_ATC_por_USOS'!S10</f>
        <v>0</v>
      </c>
      <c r="AI12" s="929">
        <f>'08_ATC_por_USOS'!W10</f>
        <v>0</v>
      </c>
      <c r="AJ12" s="929">
        <f>'08_ATC_por_USOS'!AY10</f>
        <v>22700.571573206824</v>
      </c>
      <c r="AK12" s="929">
        <f>'08_ATC_por_USOS'!BC10</f>
        <v>17025.428679905119</v>
      </c>
      <c r="AL12" s="929">
        <f>'08_ATC_por_USOS'!BM10</f>
        <v>200056.09010123706</v>
      </c>
      <c r="AM12" s="929">
        <f t="shared" si="53"/>
        <v>274010.04051007587</v>
      </c>
      <c r="AN12" s="929">
        <f>'11_Estacionamientos'!K12</f>
        <v>22493.027520190131</v>
      </c>
      <c r="AO12" s="929">
        <f>'13b_ECP'!T9</f>
        <v>15469.812280925733</v>
      </c>
      <c r="AP12" s="929">
        <f t="shared" si="54"/>
        <v>585982.92082126753</v>
      </c>
      <c r="AQ12" s="961">
        <f t="shared" si="55"/>
        <v>10438.540650765779</v>
      </c>
      <c r="AS12" s="1192">
        <f t="shared" si="56"/>
        <v>12826186211.843992</v>
      </c>
      <c r="AT12" s="930">
        <f t="shared" si="57"/>
        <v>60774909159.699135</v>
      </c>
      <c r="AU12" s="930">
        <f t="shared" si="58"/>
        <v>8156579640.0189285</v>
      </c>
      <c r="AV12" s="930">
        <f t="shared" si="59"/>
        <v>0</v>
      </c>
      <c r="AW12" s="930">
        <f t="shared" si="60"/>
        <v>0</v>
      </c>
      <c r="AX12" s="930">
        <f t="shared" si="61"/>
        <v>65209174193.601532</v>
      </c>
      <c r="AY12" s="930">
        <f t="shared" si="62"/>
        <v>28745268624.118229</v>
      </c>
      <c r="AZ12" s="930">
        <f t="shared" si="63"/>
        <v>675189304091.67505</v>
      </c>
      <c r="BA12" s="919">
        <f t="shared" si="64"/>
        <v>850901421920.95679</v>
      </c>
      <c r="BB12" s="930">
        <f t="shared" si="65"/>
        <v>35988844032.304207</v>
      </c>
      <c r="BC12" s="930">
        <f t="shared" si="66"/>
        <v>52210616448.124352</v>
      </c>
      <c r="BD12" s="1142">
        <f t="shared" si="67"/>
        <v>2087708130.1531558</v>
      </c>
      <c r="BE12" s="1143">
        <f t="shared" si="68"/>
        <v>941188590531.53857</v>
      </c>
      <c r="BF12" s="1193">
        <f t="shared" si="25"/>
        <v>0.57971765780585427</v>
      </c>
      <c r="BH12" s="1203">
        <f t="shared" si="36"/>
        <v>324705855638.00092</v>
      </c>
      <c r="BI12" s="1144">
        <f>'05c_Resumen_MORADORES'!G8</f>
        <v>2596837373.1934199</v>
      </c>
      <c r="BJ12" s="930">
        <f>'06_CARGAS'!W11</f>
        <v>26087580305.507439</v>
      </c>
      <c r="BK12" s="1144">
        <f>'15_Reparto_C&amp;B'!AM11</f>
        <v>378975832.18871862</v>
      </c>
      <c r="BL12" s="1144">
        <f>'15_Reparto_C&amp;B'!AN11</f>
        <v>2131739056.0615425</v>
      </c>
      <c r="BM12" s="1144">
        <f>'15_Reparto_C&amp;B'!AO11</f>
        <v>5739447823.735528</v>
      </c>
      <c r="BN12" s="1144">
        <f>'15_Reparto_C&amp;B'!AL11</f>
        <v>9606201154.3839359</v>
      </c>
      <c r="BO12" s="1144">
        <f>'15_Reparto_C&amp;B'!AG11</f>
        <v>0</v>
      </c>
      <c r="BP12" s="1144">
        <f>'09_CARGA_VISVIP'!R9</f>
        <v>0</v>
      </c>
      <c r="BQ12" s="1144">
        <f>-'09_CARGA_VISVIP'!Z9</f>
        <v>-3324275888.0258799</v>
      </c>
      <c r="BR12" s="1145">
        <f t="shared" si="69"/>
        <v>367922361295.04559</v>
      </c>
      <c r="BS12" s="1204">
        <f t="shared" si="27"/>
        <v>0.22661886437011147</v>
      </c>
      <c r="BT12" s="1227"/>
      <c r="BU12" s="1231">
        <f t="shared" si="37"/>
        <v>1309110951826.5842</v>
      </c>
      <c r="BV12" s="1236"/>
      <c r="BW12" s="1242">
        <f t="shared" si="38"/>
        <v>2537047822.1229873</v>
      </c>
      <c r="BX12" s="1146">
        <f t="shared" si="39"/>
        <v>11576173173.276024</v>
      </c>
      <c r="BY12" s="1146">
        <f t="shared" si="40"/>
        <v>978789556.8022716</v>
      </c>
      <c r="BZ12" s="1146">
        <f t="shared" si="41"/>
        <v>0</v>
      </c>
      <c r="CA12" s="1146">
        <f t="shared" si="42"/>
        <v>0</v>
      </c>
      <c r="CB12" s="1146">
        <f t="shared" si="43"/>
        <v>12075772998.815098</v>
      </c>
      <c r="CC12" s="1146">
        <f t="shared" si="44"/>
        <v>5323197893.3552275</v>
      </c>
      <c r="CD12" s="1146">
        <f t="shared" si="45"/>
        <v>125035056313.27315</v>
      </c>
      <c r="CE12" s="1146">
        <f t="shared" si="70"/>
        <v>157526037757.64474</v>
      </c>
      <c r="CF12" s="972">
        <f t="shared" si="29"/>
        <v>9.7026915297310209E-2</v>
      </c>
      <c r="CH12" s="1203">
        <f t="shared" si="46"/>
        <v>1466636989584.229</v>
      </c>
      <c r="CI12" s="1204">
        <f t="shared" si="31"/>
        <v>0.90336343747327608</v>
      </c>
      <c r="CK12" s="1248">
        <f t="shared" si="71"/>
        <v>9.6636562526723924E-2</v>
      </c>
      <c r="CL12" s="930">
        <f t="shared" si="47"/>
        <v>156892288605.77533</v>
      </c>
      <c r="CM12" s="937">
        <f t="shared" si="48"/>
        <v>6123530.6468892684</v>
      </c>
      <c r="CN12" s="1147"/>
      <c r="CO12" s="1192">
        <f>'00_Datos_General'!$C$23</f>
        <v>3535000</v>
      </c>
      <c r="CP12" s="1251">
        <f t="shared" si="72"/>
        <v>2588530.6468892684</v>
      </c>
    </row>
    <row r="13" spans="1:94">
      <c r="A13" s="1171">
        <v>5</v>
      </c>
      <c r="B13" s="1181">
        <f>'04c_Resumen_MO'!B10</f>
        <v>27038.024665190002</v>
      </c>
      <c r="C13" s="1140">
        <f>'04c_Resumen_MO'!F10</f>
        <v>18955.861884005404</v>
      </c>
      <c r="D13" s="1140">
        <f>'04c_Resumen_MO'!G10</f>
        <v>8082.1627811845974</v>
      </c>
      <c r="E13" s="1140">
        <f>'04c_Resumen_MO'!I10</f>
        <v>5998.1154100699305</v>
      </c>
      <c r="F13" s="1140">
        <f t="shared" si="49"/>
        <v>175491.68237871173</v>
      </c>
      <c r="G13" s="1140">
        <f>'08_ATC_por_USOS'!I11</f>
        <v>4134.3724785720451</v>
      </c>
      <c r="H13" s="1140">
        <f>'08_ATC_por_USOS'!M11</f>
        <v>14936.532912336539</v>
      </c>
      <c r="I13" s="1140">
        <f>'08_ATC_por_USOS'!Q11</f>
        <v>0</v>
      </c>
      <c r="J13" s="1140">
        <f>'08_ATC_por_USOS'!U11</f>
        <v>0</v>
      </c>
      <c r="K13" s="1140">
        <f>'08_ATC_por_USOS'!Y11</f>
        <v>0</v>
      </c>
      <c r="L13" s="1140">
        <f>'08_ATC_por_USOS'!BA11</f>
        <v>14752.854042509896</v>
      </c>
      <c r="M13" s="1140">
        <f>'08_ATC_por_USOS'!BE11</f>
        <v>11064.640531882424</v>
      </c>
      <c r="N13" s="1140">
        <f>'08_ATC_por_USOS'!BO11</f>
        <v>130603.28241341082</v>
      </c>
      <c r="O13" s="1140">
        <f>'11_Estacionamientos'!S13</f>
        <v>491</v>
      </c>
      <c r="P13" s="1141">
        <f t="shared" si="50"/>
        <v>175491.68237871173</v>
      </c>
      <c r="Q13" s="1102"/>
      <c r="R13" s="930">
        <f t="shared" si="33"/>
        <v>26873421110.718292</v>
      </c>
      <c r="S13" s="930">
        <f t="shared" si="33"/>
        <v>112023996842.52405</v>
      </c>
      <c r="T13" s="930">
        <f t="shared" si="33"/>
        <v>0</v>
      </c>
      <c r="U13" s="930">
        <f t="shared" si="33"/>
        <v>0</v>
      </c>
      <c r="V13" s="930">
        <f t="shared" si="33"/>
        <v>0</v>
      </c>
      <c r="W13" s="930">
        <f t="shared" si="33"/>
        <v>94174959037.034134</v>
      </c>
      <c r="X13" s="930">
        <f t="shared" si="33"/>
        <v>41513859493.876274</v>
      </c>
      <c r="Y13" s="930">
        <f t="shared" si="33"/>
        <v>979524618100.58118</v>
      </c>
      <c r="Z13" s="930">
        <f t="shared" si="34"/>
        <v>1254110854584.7339</v>
      </c>
      <c r="AA13" s="930">
        <f t="shared" si="35"/>
        <v>24550000000</v>
      </c>
      <c r="AB13" s="1159">
        <f t="shared" si="51"/>
        <v>1278660854584.7339</v>
      </c>
      <c r="AC13" s="1182">
        <f t="shared" si="52"/>
        <v>0.14022812657010669</v>
      </c>
      <c r="AE13" s="968">
        <f>'08_ATC_por_USOS'!G11</f>
        <v>5374.6842221436582</v>
      </c>
      <c r="AF13" s="929">
        <f>'08_ATC_por_USOS'!K11</f>
        <v>20164.319431654327</v>
      </c>
      <c r="AG13" s="929">
        <f>'08_ATC_por_USOS'!O11</f>
        <v>0</v>
      </c>
      <c r="AH13" s="929">
        <f>'08_ATC_por_USOS'!S11</f>
        <v>0</v>
      </c>
      <c r="AI13" s="929">
        <f>'08_ATC_por_USOS'!W11</f>
        <v>0</v>
      </c>
      <c r="AJ13" s="929">
        <f>'08_ATC_por_USOS'!AY11</f>
        <v>17703.424851011878</v>
      </c>
      <c r="AK13" s="929">
        <f>'08_ATC_por_USOS'!BC11</f>
        <v>13277.568638258908</v>
      </c>
      <c r="AL13" s="929">
        <f>'08_ATC_por_USOS'!BM11</f>
        <v>156723.93889609299</v>
      </c>
      <c r="AM13" s="929">
        <f t="shared" si="53"/>
        <v>213243.93603916175</v>
      </c>
      <c r="AN13" s="929">
        <f>'11_Estacionamientos'!K13</f>
        <v>17549.168237871174</v>
      </c>
      <c r="AO13" s="929">
        <f>'13b_ECP'!T10</f>
        <v>12109.995637765405</v>
      </c>
      <c r="AP13" s="929">
        <f t="shared" si="54"/>
        <v>456147.03595396009</v>
      </c>
      <c r="AQ13" s="961">
        <f t="shared" si="55"/>
        <v>8082.1627811845974</v>
      </c>
      <c r="AS13" s="1192">
        <f t="shared" si="56"/>
        <v>12227406605.376822</v>
      </c>
      <c r="AT13" s="930">
        <f t="shared" si="57"/>
        <v>52931338508.092606</v>
      </c>
      <c r="AU13" s="930">
        <f t="shared" si="58"/>
        <v>0</v>
      </c>
      <c r="AV13" s="930">
        <f t="shared" si="59"/>
        <v>0</v>
      </c>
      <c r="AW13" s="930">
        <f t="shared" si="60"/>
        <v>0</v>
      </c>
      <c r="AX13" s="930">
        <f t="shared" si="61"/>
        <v>50854477879.998436</v>
      </c>
      <c r="AY13" s="930">
        <f t="shared" si="62"/>
        <v>22417484126.693188</v>
      </c>
      <c r="AZ13" s="930">
        <f t="shared" si="63"/>
        <v>528943293774.31384</v>
      </c>
      <c r="BA13" s="919">
        <f t="shared" si="64"/>
        <v>667374000894.47485</v>
      </c>
      <c r="BB13" s="930">
        <f t="shared" si="65"/>
        <v>28078669180.59388</v>
      </c>
      <c r="BC13" s="930">
        <f t="shared" si="66"/>
        <v>40871235277.458244</v>
      </c>
      <c r="BD13" s="1142">
        <f t="shared" si="67"/>
        <v>1616432556.2369194</v>
      </c>
      <c r="BE13" s="1143">
        <f t="shared" si="68"/>
        <v>737940337908.76392</v>
      </c>
      <c r="BF13" s="1193">
        <f t="shared" si="25"/>
        <v>0.57711967584119261</v>
      </c>
      <c r="BH13" s="1203">
        <f t="shared" si="36"/>
        <v>255732170916.94678</v>
      </c>
      <c r="BI13" s="1144">
        <f>'05c_Resumen_MORADORES'!G9</f>
        <v>0</v>
      </c>
      <c r="BJ13" s="930">
        <f>'06_CARGAS'!W12</f>
        <v>17284606713.641964</v>
      </c>
      <c r="BK13" s="1144">
        <f>'15_Reparto_C&amp;B'!AM12</f>
        <v>0</v>
      </c>
      <c r="BL13" s="1144">
        <f>'15_Reparto_C&amp;B'!AN12</f>
        <v>0</v>
      </c>
      <c r="BM13" s="1144">
        <f>'15_Reparto_C&amp;B'!AO12</f>
        <v>0</v>
      </c>
      <c r="BN13" s="1144">
        <f>'15_Reparto_C&amp;B'!AL12</f>
        <v>0</v>
      </c>
      <c r="BO13" s="1144">
        <f>'15_Reparto_C&amp;B'!AG12</f>
        <v>-6922613112.9122162</v>
      </c>
      <c r="BP13" s="1144">
        <f>'09_CARGA_VISVIP'!R10</f>
        <v>0</v>
      </c>
      <c r="BQ13" s="1144">
        <f>-'09_CARGA_VISVIP'!Z10</f>
        <v>-2592492800.3644633</v>
      </c>
      <c r="BR13" s="1145">
        <f t="shared" si="69"/>
        <v>263501671717.31204</v>
      </c>
      <c r="BS13" s="1204">
        <f t="shared" si="27"/>
        <v>0.2060762795486443</v>
      </c>
      <c r="BT13" s="1227"/>
      <c r="BU13" s="1231">
        <f t="shared" si="37"/>
        <v>1001442009626.0759</v>
      </c>
      <c r="BV13" s="1236"/>
      <c r="BW13" s="1242">
        <f t="shared" si="38"/>
        <v>2418607899.9646463</v>
      </c>
      <c r="BX13" s="1146">
        <f t="shared" si="39"/>
        <v>10082159715.827164</v>
      </c>
      <c r="BY13" s="1146">
        <f t="shared" si="40"/>
        <v>0</v>
      </c>
      <c r="BZ13" s="1146">
        <f t="shared" si="41"/>
        <v>0</v>
      </c>
      <c r="CA13" s="1146">
        <f t="shared" si="42"/>
        <v>0</v>
      </c>
      <c r="CB13" s="1146">
        <f t="shared" si="43"/>
        <v>9417495903.703413</v>
      </c>
      <c r="CC13" s="1146">
        <f t="shared" si="44"/>
        <v>4151385949.3876276</v>
      </c>
      <c r="CD13" s="1146">
        <f t="shared" si="45"/>
        <v>97952461810.058121</v>
      </c>
      <c r="CE13" s="1146">
        <f t="shared" si="70"/>
        <v>124022111278.94098</v>
      </c>
      <c r="CF13" s="972">
        <f t="shared" si="29"/>
        <v>9.6993750011389213E-2</v>
      </c>
      <c r="CH13" s="1203">
        <f t="shared" si="46"/>
        <v>1125464120905.0168</v>
      </c>
      <c r="CI13" s="1204">
        <f t="shared" si="31"/>
        <v>0.88018970540122599</v>
      </c>
      <c r="CK13" s="1248">
        <f t="shared" si="71"/>
        <v>0.11981029459877401</v>
      </c>
      <c r="CL13" s="930">
        <f t="shared" si="47"/>
        <v>153196733679.7171</v>
      </c>
      <c r="CM13" s="937">
        <f t="shared" si="48"/>
        <v>5665973.5900363177</v>
      </c>
      <c r="CN13" s="1147"/>
      <c r="CO13" s="1192">
        <f>'00_Datos_General'!$C$23</f>
        <v>3535000</v>
      </c>
      <c r="CP13" s="1251">
        <f t="shared" si="72"/>
        <v>2130973.5900363177</v>
      </c>
    </row>
    <row r="14" spans="1:94">
      <c r="A14" s="1171">
        <v>6</v>
      </c>
      <c r="B14" s="1181">
        <f>'04c_Resumen_MO'!B11</f>
        <v>21089.89942655</v>
      </c>
      <c r="C14" s="1140">
        <f>'04c_Resumen_MO'!F11</f>
        <v>12504.37321928452</v>
      </c>
      <c r="D14" s="1140">
        <f>'04c_Resumen_MO'!G11</f>
        <v>8585.5262072654805</v>
      </c>
      <c r="E14" s="1140">
        <f>'04c_Resumen_MO'!I11</f>
        <v>6680.3983195752862</v>
      </c>
      <c r="F14" s="1140">
        <f t="shared" si="49"/>
        <v>185697.11607324937</v>
      </c>
      <c r="G14" s="1140">
        <f>'08_ATC_por_USOS'!I12</f>
        <v>4744.6146367918464</v>
      </c>
      <c r="H14" s="1140">
        <f>'08_ATC_por_USOS'!M12</f>
        <v>16405.947060620092</v>
      </c>
      <c r="I14" s="1140">
        <f>'08_ATC_por_USOS'!Q12</f>
        <v>0</v>
      </c>
      <c r="J14" s="1140">
        <f>'08_ATC_por_USOS'!U12</f>
        <v>0</v>
      </c>
      <c r="K14" s="1140">
        <f>'08_ATC_por_USOS'!Y12</f>
        <v>0</v>
      </c>
      <c r="L14" s="1140">
        <f>'08_ATC_por_USOS'!BA12</f>
        <v>15622.679049294135</v>
      </c>
      <c r="M14" s="1140">
        <f>'08_ATC_por_USOS'!BE12</f>
        <v>11717.009286970602</v>
      </c>
      <c r="N14" s="1140">
        <f>'08_ATC_por_USOS'!BO12</f>
        <v>137206.86603957269</v>
      </c>
      <c r="O14" s="1140">
        <f>'11_Estacionamientos'!S14</f>
        <v>520</v>
      </c>
      <c r="P14" s="1141">
        <f t="shared" si="50"/>
        <v>185697.11607324937</v>
      </c>
      <c r="Q14" s="1102"/>
      <c r="R14" s="930">
        <f t="shared" si="33"/>
        <v>30839995139.147003</v>
      </c>
      <c r="S14" s="930">
        <f t="shared" si="33"/>
        <v>123044602954.6507</v>
      </c>
      <c r="T14" s="930">
        <f t="shared" si="33"/>
        <v>0</v>
      </c>
      <c r="U14" s="930">
        <f t="shared" si="33"/>
        <v>0</v>
      </c>
      <c r="V14" s="930">
        <f t="shared" si="33"/>
        <v>0</v>
      </c>
      <c r="W14" s="930">
        <f t="shared" si="33"/>
        <v>99727493763.349182</v>
      </c>
      <c r="X14" s="930">
        <f t="shared" si="33"/>
        <v>43961507454.864136</v>
      </c>
      <c r="Y14" s="930">
        <f t="shared" si="33"/>
        <v>1029051495296.7952</v>
      </c>
      <c r="Z14" s="930">
        <f t="shared" si="34"/>
        <v>1326625094608.8062</v>
      </c>
      <c r="AA14" s="930">
        <f t="shared" si="35"/>
        <v>26000000000</v>
      </c>
      <c r="AB14" s="1159">
        <f t="shared" si="51"/>
        <v>1352625094608.8062</v>
      </c>
      <c r="AC14" s="1182">
        <f t="shared" si="52"/>
        <v>0.14833963383535867</v>
      </c>
      <c r="AE14" s="968">
        <f>'08_ATC_por_USOS'!G12</f>
        <v>6167.9990278294008</v>
      </c>
      <c r="AF14" s="929">
        <f>'08_ATC_por_USOS'!K12</f>
        <v>22148.028531837121</v>
      </c>
      <c r="AG14" s="929">
        <f>'08_ATC_por_USOS'!O12</f>
        <v>0</v>
      </c>
      <c r="AH14" s="929">
        <f>'08_ATC_por_USOS'!S12</f>
        <v>0</v>
      </c>
      <c r="AI14" s="929">
        <f>'08_ATC_por_USOS'!W12</f>
        <v>0</v>
      </c>
      <c r="AJ14" s="929">
        <f>'08_ATC_por_USOS'!AY12</f>
        <v>18747.214859152962</v>
      </c>
      <c r="AK14" s="929">
        <f>'08_ATC_por_USOS'!BC12</f>
        <v>14060.411144364723</v>
      </c>
      <c r="AL14" s="929">
        <f>'08_ATC_por_USOS'!BM12</f>
        <v>164648.23924748722</v>
      </c>
      <c r="AM14" s="929">
        <f t="shared" si="53"/>
        <v>225771.89281067142</v>
      </c>
      <c r="AN14" s="929">
        <f>'11_Estacionamientos'!K14</f>
        <v>18569.711607324938</v>
      </c>
      <c r="AO14" s="929">
        <f>'13b_ECP'!T11</f>
        <v>12739.088080709995</v>
      </c>
      <c r="AP14" s="929">
        <f t="shared" si="54"/>
        <v>482852.58530937776</v>
      </c>
      <c r="AQ14" s="961">
        <f t="shared" si="55"/>
        <v>8585.5262072654805</v>
      </c>
      <c r="AS14" s="1192">
        <f t="shared" si="56"/>
        <v>14032197788.311888</v>
      </c>
      <c r="AT14" s="930">
        <f t="shared" si="57"/>
        <v>58138574896.072441</v>
      </c>
      <c r="AU14" s="930">
        <f t="shared" si="58"/>
        <v>0</v>
      </c>
      <c r="AV14" s="930">
        <f t="shared" si="59"/>
        <v>0</v>
      </c>
      <c r="AW14" s="930">
        <f t="shared" si="60"/>
        <v>0</v>
      </c>
      <c r="AX14" s="930">
        <f t="shared" si="61"/>
        <v>53852846632.208557</v>
      </c>
      <c r="AY14" s="930">
        <f t="shared" si="62"/>
        <v>23739214025.626633</v>
      </c>
      <c r="AZ14" s="930">
        <f t="shared" si="63"/>
        <v>555687807460.26941</v>
      </c>
      <c r="BA14" s="919">
        <f t="shared" si="64"/>
        <v>705450640802.48889</v>
      </c>
      <c r="BB14" s="930">
        <f t="shared" si="65"/>
        <v>29711538571.719902</v>
      </c>
      <c r="BC14" s="930">
        <f t="shared" si="66"/>
        <v>42994422272.396233</v>
      </c>
      <c r="BD14" s="1142">
        <f t="shared" si="67"/>
        <v>1717105241.4530962</v>
      </c>
      <c r="BE14" s="1143">
        <f t="shared" si="68"/>
        <v>779873706888.05811</v>
      </c>
      <c r="BF14" s="1193">
        <f t="shared" si="25"/>
        <v>0.5765630920174567</v>
      </c>
      <c r="BH14" s="1203">
        <f t="shared" si="36"/>
        <v>270525018921.76123</v>
      </c>
      <c r="BI14" s="1144">
        <f>'05c_Resumen_MORADORES'!G10</f>
        <v>140612217.31200001</v>
      </c>
      <c r="BJ14" s="930">
        <f>'06_CARGAS'!W13</f>
        <v>22591871946.130657</v>
      </c>
      <c r="BK14" s="1144">
        <f>'15_Reparto_C&amp;B'!AM13</f>
        <v>316760413.90930325</v>
      </c>
      <c r="BL14" s="1144">
        <f>'15_Reparto_C&amp;B'!AN13</f>
        <v>1781777328.239831</v>
      </c>
      <c r="BM14" s="1144">
        <f>'15_Reparto_C&amp;B'!AO13</f>
        <v>4797218486.8822746</v>
      </c>
      <c r="BN14" s="1144">
        <f>'15_Reparto_C&amp;B'!AL13</f>
        <v>8029177576.272006</v>
      </c>
      <c r="BO14" s="1144">
        <f>'15_Reparto_C&amp;B'!AG13</f>
        <v>0</v>
      </c>
      <c r="BP14" s="1144">
        <f>'09_CARGA_VISVIP'!R11</f>
        <v>0</v>
      </c>
      <c r="BQ14" s="1144">
        <f>-'09_CARGA_VISVIP'!Z11</f>
        <v>-2745345601.6710677</v>
      </c>
      <c r="BR14" s="1145">
        <f t="shared" si="69"/>
        <v>305437091288.83624</v>
      </c>
      <c r="BS14" s="1204">
        <f t="shared" si="27"/>
        <v>0.22581060524917435</v>
      </c>
      <c r="BT14" s="1227"/>
      <c r="BU14" s="1231">
        <f t="shared" si="37"/>
        <v>1085310798176.8943</v>
      </c>
      <c r="BV14" s="1236"/>
      <c r="BW14" s="1242">
        <f t="shared" si="38"/>
        <v>2775599562.5232301</v>
      </c>
      <c r="BX14" s="1146">
        <f t="shared" si="39"/>
        <v>11074014265.918562</v>
      </c>
      <c r="BY14" s="1146">
        <f t="shared" si="40"/>
        <v>0</v>
      </c>
      <c r="BZ14" s="1146">
        <f t="shared" si="41"/>
        <v>0</v>
      </c>
      <c r="CA14" s="1146">
        <f t="shared" si="42"/>
        <v>0</v>
      </c>
      <c r="CB14" s="1146">
        <f t="shared" si="43"/>
        <v>9972749376.334919</v>
      </c>
      <c r="CC14" s="1146">
        <f t="shared" si="44"/>
        <v>4396150745.486414</v>
      </c>
      <c r="CD14" s="1146">
        <f t="shared" si="45"/>
        <v>102905149529.67952</v>
      </c>
      <c r="CE14" s="1146">
        <f t="shared" si="70"/>
        <v>131123663479.94264</v>
      </c>
      <c r="CF14" s="972">
        <f t="shared" si="29"/>
        <v>9.6940138108161475E-2</v>
      </c>
      <c r="CH14" s="1203">
        <f t="shared" si="46"/>
        <v>1216434461656.8369</v>
      </c>
      <c r="CI14" s="1204">
        <f t="shared" si="31"/>
        <v>0.89931383537479237</v>
      </c>
      <c r="CK14" s="1248">
        <f t="shared" si="71"/>
        <v>0.10068616462520763</v>
      </c>
      <c r="CL14" s="930">
        <f t="shared" si="47"/>
        <v>136190632951.9693</v>
      </c>
      <c r="CM14" s="937">
        <f t="shared" si="48"/>
        <v>6457623.6328808377</v>
      </c>
      <c r="CN14" s="1147"/>
      <c r="CO14" s="1192">
        <f>'00_Datos_General'!$C$23</f>
        <v>3535000</v>
      </c>
      <c r="CP14" s="1251">
        <f t="shared" si="72"/>
        <v>2922623.6328808377</v>
      </c>
    </row>
    <row r="15" spans="1:94">
      <c r="A15" s="1171">
        <v>7</v>
      </c>
      <c r="B15" s="1181">
        <f>'04c_Resumen_MO'!B12</f>
        <v>23967.619699999999</v>
      </c>
      <c r="C15" s="1140">
        <f>'04c_Resumen_MO'!F12</f>
        <v>16718.75728048266</v>
      </c>
      <c r="D15" s="1140">
        <f>'04c_Resumen_MO'!G12</f>
        <v>7248.8624195173397</v>
      </c>
      <c r="E15" s="1140">
        <f>'04c_Resumen_MO'!I12</f>
        <v>6265.2010167113922</v>
      </c>
      <c r="F15" s="1140">
        <f t="shared" si="49"/>
        <v>124350.85814962009</v>
      </c>
      <c r="G15" s="1140">
        <f>'08_ATC_por_USOS'!I13</f>
        <v>9910.126311945045</v>
      </c>
      <c r="H15" s="1140">
        <f>'08_ATC_por_USOS'!M13</f>
        <v>9804.398687015444</v>
      </c>
      <c r="I15" s="1140">
        <f>'08_ATC_por_USOS'!Q13</f>
        <v>0</v>
      </c>
      <c r="J15" s="1140">
        <f>'08_ATC_por_USOS'!U13</f>
        <v>0</v>
      </c>
      <c r="K15" s="1140">
        <f>'08_ATC_por_USOS'!Y13</f>
        <v>0</v>
      </c>
      <c r="L15" s="1140">
        <f>'08_ATC_por_USOS'!BA13</f>
        <v>10529.664957144851</v>
      </c>
      <c r="M15" s="1140">
        <f>'08_ATC_por_USOS'!BE13</f>
        <v>7897.2487178586389</v>
      </c>
      <c r="N15" s="1140">
        <f>'08_ATC_por_USOS'!BO13</f>
        <v>86209.419475656105</v>
      </c>
      <c r="O15" s="1140">
        <f>'11_Estacionamientos'!S15</f>
        <v>348</v>
      </c>
      <c r="P15" s="1141">
        <f t="shared" si="50"/>
        <v>124350.85814962009</v>
      </c>
      <c r="Q15" s="1102"/>
      <c r="R15" s="930">
        <f t="shared" si="33"/>
        <v>64415821027.642792</v>
      </c>
      <c r="S15" s="930">
        <f t="shared" si="33"/>
        <v>73532990152.615829</v>
      </c>
      <c r="T15" s="930">
        <f t="shared" si="33"/>
        <v>0</v>
      </c>
      <c r="U15" s="930">
        <f t="shared" si="33"/>
        <v>0</v>
      </c>
      <c r="V15" s="930">
        <f t="shared" si="33"/>
        <v>0</v>
      </c>
      <c r="W15" s="930">
        <f t="shared" si="33"/>
        <v>67216198516.941635</v>
      </c>
      <c r="X15" s="930">
        <f t="shared" si="33"/>
        <v>29629997713.590603</v>
      </c>
      <c r="Y15" s="930">
        <f t="shared" si="33"/>
        <v>646570646067.42078</v>
      </c>
      <c r="Z15" s="930">
        <f t="shared" si="34"/>
        <v>881365653478.21167</v>
      </c>
      <c r="AA15" s="930">
        <f t="shared" si="35"/>
        <v>17400000000</v>
      </c>
      <c r="AB15" s="1159">
        <f t="shared" si="51"/>
        <v>898765653478.21167</v>
      </c>
      <c r="AC15" s="1182">
        <f t="shared" si="52"/>
        <v>9.8565795113621707E-2</v>
      </c>
      <c r="AE15" s="968">
        <f>'08_ATC_por_USOS'!G13</f>
        <v>12883.164205528557</v>
      </c>
      <c r="AF15" s="929">
        <f>'08_ATC_por_USOS'!K13</f>
        <v>13235.938227470848</v>
      </c>
      <c r="AG15" s="929">
        <f>'08_ATC_por_USOS'!O13</f>
        <v>0</v>
      </c>
      <c r="AH15" s="929">
        <f>'08_ATC_por_USOS'!S13</f>
        <v>0</v>
      </c>
      <c r="AI15" s="929">
        <f>'08_ATC_por_USOS'!W13</f>
        <v>0</v>
      </c>
      <c r="AJ15" s="929">
        <f>'08_ATC_por_USOS'!AY13</f>
        <v>12635.597948573821</v>
      </c>
      <c r="AK15" s="929">
        <f>'08_ATC_por_USOS'!BC13</f>
        <v>9476.6984614303674</v>
      </c>
      <c r="AL15" s="929">
        <f>'08_ATC_por_USOS'!BM13</f>
        <v>103451.30337078733</v>
      </c>
      <c r="AM15" s="929">
        <f t="shared" si="53"/>
        <v>151682.70221379091</v>
      </c>
      <c r="AN15" s="929">
        <f>'11_Estacionamientos'!K15</f>
        <v>12435.085814962011</v>
      </c>
      <c r="AO15" s="929">
        <f>'13b_ECP'!T12</f>
        <v>8100.8774052123563</v>
      </c>
      <c r="AP15" s="929">
        <f t="shared" si="54"/>
        <v>323901.36764775618</v>
      </c>
      <c r="AQ15" s="961">
        <f t="shared" si="55"/>
        <v>7248.8624195173397</v>
      </c>
      <c r="AS15" s="1192">
        <f t="shared" si="56"/>
        <v>29309198567.577469</v>
      </c>
      <c r="AT15" s="930">
        <f t="shared" si="57"/>
        <v>34744337847.110977</v>
      </c>
      <c r="AU15" s="930">
        <f t="shared" si="58"/>
        <v>0</v>
      </c>
      <c r="AV15" s="930">
        <f t="shared" si="59"/>
        <v>0</v>
      </c>
      <c r="AW15" s="930">
        <f t="shared" si="60"/>
        <v>0</v>
      </c>
      <c r="AX15" s="930">
        <f t="shared" si="61"/>
        <v>36296747199.148483</v>
      </c>
      <c r="AY15" s="930">
        <f t="shared" si="62"/>
        <v>16000198765.338926</v>
      </c>
      <c r="AZ15" s="930">
        <f t="shared" si="63"/>
        <v>349148148876.40723</v>
      </c>
      <c r="BA15" s="919">
        <f t="shared" si="64"/>
        <v>465498631255.58307</v>
      </c>
      <c r="BB15" s="930">
        <f t="shared" si="65"/>
        <v>19896137303.939217</v>
      </c>
      <c r="BC15" s="930">
        <f t="shared" si="66"/>
        <v>27340461242.591702</v>
      </c>
      <c r="BD15" s="1142">
        <f t="shared" si="67"/>
        <v>1449772483.9034679</v>
      </c>
      <c r="BE15" s="1143">
        <f t="shared" si="68"/>
        <v>514185002286.0174</v>
      </c>
      <c r="BF15" s="1193">
        <f t="shared" si="25"/>
        <v>0.57210130393404324</v>
      </c>
      <c r="BH15" s="1203">
        <f t="shared" si="36"/>
        <v>179753130695.64233</v>
      </c>
      <c r="BI15" s="1144">
        <f>'05c_Resumen_MORADORES'!G11</f>
        <v>0</v>
      </c>
      <c r="BJ15" s="930">
        <f>'06_CARGAS'!W14</f>
        <v>17439703666.18576</v>
      </c>
      <c r="BK15" s="1144">
        <f>'15_Reparto_C&amp;B'!AM14</f>
        <v>0</v>
      </c>
      <c r="BL15" s="1144">
        <f>'15_Reparto_C&amp;B'!AN14</f>
        <v>0</v>
      </c>
      <c r="BM15" s="1144">
        <f>'15_Reparto_C&amp;B'!AO14</f>
        <v>0</v>
      </c>
      <c r="BN15" s="1144">
        <f>'15_Reparto_C&amp;B'!AL14</f>
        <v>0</v>
      </c>
      <c r="BO15" s="1144">
        <f>'15_Reparto_C&amp;B'!AG14</f>
        <v>-27699440998.317368</v>
      </c>
      <c r="BP15" s="1144">
        <f>'09_CARGA_VISVIP'!R12</f>
        <v>0</v>
      </c>
      <c r="BQ15" s="1144">
        <f>-'09_CARGA_VISVIP'!Z12</f>
        <v>-1850359294.072144</v>
      </c>
      <c r="BR15" s="1145">
        <f t="shared" si="69"/>
        <v>167643034069.4386</v>
      </c>
      <c r="BS15" s="1204">
        <f t="shared" si="27"/>
        <v>0.18652585734742108</v>
      </c>
      <c r="BT15" s="1227"/>
      <c r="BU15" s="1231">
        <f t="shared" si="37"/>
        <v>681828036355.45605</v>
      </c>
      <c r="BV15" s="1236"/>
      <c r="BW15" s="1242">
        <f t="shared" si="38"/>
        <v>5797423892.4878511</v>
      </c>
      <c r="BX15" s="1146">
        <f t="shared" si="39"/>
        <v>6617969113.735424</v>
      </c>
      <c r="BY15" s="1146">
        <f t="shared" si="40"/>
        <v>0</v>
      </c>
      <c r="BZ15" s="1146">
        <f t="shared" si="41"/>
        <v>0</v>
      </c>
      <c r="CA15" s="1146">
        <f t="shared" si="42"/>
        <v>0</v>
      </c>
      <c r="CB15" s="1146">
        <f t="shared" si="43"/>
        <v>6721619851.6941643</v>
      </c>
      <c r="CC15" s="1146">
        <f t="shared" si="44"/>
        <v>2962999771.3590603</v>
      </c>
      <c r="CD15" s="1146">
        <f t="shared" si="45"/>
        <v>64657064606.742081</v>
      </c>
      <c r="CE15" s="1146">
        <f t="shared" si="70"/>
        <v>86757077236.018585</v>
      </c>
      <c r="CF15" s="972">
        <f t="shared" si="29"/>
        <v>9.6529141829429954E-2</v>
      </c>
      <c r="CH15" s="1203">
        <f t="shared" si="46"/>
        <v>768585113591.47461</v>
      </c>
      <c r="CI15" s="1204">
        <f t="shared" si="31"/>
        <v>0.8551563031108943</v>
      </c>
      <c r="CK15" s="1248">
        <f t="shared" si="71"/>
        <v>0.1448436968891057</v>
      </c>
      <c r="CL15" s="930">
        <f t="shared" si="47"/>
        <v>130180539886.73711</v>
      </c>
      <c r="CM15" s="937">
        <f t="shared" si="48"/>
        <v>5431517.2518669888</v>
      </c>
      <c r="CN15" s="1147"/>
      <c r="CO15" s="1192">
        <f>'00_Datos_General'!$C$23</f>
        <v>3535000</v>
      </c>
      <c r="CP15" s="1251">
        <f t="shared" si="72"/>
        <v>1896517.2518669888</v>
      </c>
    </row>
    <row r="16" spans="1:94" ht="13.9" thickBot="1">
      <c r="A16" s="1171">
        <v>8</v>
      </c>
      <c r="B16" s="1183">
        <f>'04c_Resumen_MO'!B13</f>
        <v>14752.6990159</v>
      </c>
      <c r="C16" s="1184">
        <f>'04c_Resumen_MO'!F13</f>
        <v>9972.2833655322029</v>
      </c>
      <c r="D16" s="1184">
        <f>'04c_Resumen_MO'!G13</f>
        <v>4780.4156503677968</v>
      </c>
      <c r="E16" s="1184">
        <f>'04c_Resumen_MO'!I13</f>
        <v>3425.1479890293858</v>
      </c>
      <c r="F16" s="1184">
        <f t="shared" si="49"/>
        <v>90089.148434017989</v>
      </c>
      <c r="G16" s="1184">
        <f>'08_ATC_por_USOS'!I14</f>
        <v>0</v>
      </c>
      <c r="H16" s="1184">
        <f>'08_ATC_por_USOS'!M14</f>
        <v>0</v>
      </c>
      <c r="I16" s="1184">
        <f>'08_ATC_por_USOS'!Q14</f>
        <v>0</v>
      </c>
      <c r="J16" s="1184">
        <f>'08_ATC_por_USOS'!U14</f>
        <v>0</v>
      </c>
      <c r="K16" s="1184">
        <f>'08_ATC_por_USOS'!Y14</f>
        <v>90089.148434017989</v>
      </c>
      <c r="L16" s="1184">
        <f>'08_ATC_por_USOS'!BA14</f>
        <v>0</v>
      </c>
      <c r="M16" s="1184">
        <f>'08_ATC_por_USOS'!BE14</f>
        <v>0</v>
      </c>
      <c r="N16" s="1184">
        <f>'08_ATC_por_USOS'!BO14</f>
        <v>0</v>
      </c>
      <c r="O16" s="1184">
        <f>'11_Estacionamientos'!S16</f>
        <v>180</v>
      </c>
      <c r="P16" s="1185">
        <f t="shared" si="50"/>
        <v>90089.148434017989</v>
      </c>
      <c r="Q16" s="1186"/>
      <c r="R16" s="973">
        <f t="shared" si="33"/>
        <v>0</v>
      </c>
      <c r="S16" s="973">
        <f t="shared" si="33"/>
        <v>0</v>
      </c>
      <c r="T16" s="973">
        <f t="shared" si="33"/>
        <v>0</v>
      </c>
      <c r="U16" s="973">
        <f t="shared" si="33"/>
        <v>0</v>
      </c>
      <c r="V16" s="973">
        <f t="shared" si="33"/>
        <v>810802335906.16187</v>
      </c>
      <c r="W16" s="973">
        <f t="shared" si="33"/>
        <v>0</v>
      </c>
      <c r="X16" s="973">
        <f t="shared" si="33"/>
        <v>0</v>
      </c>
      <c r="Y16" s="973">
        <f t="shared" si="33"/>
        <v>0</v>
      </c>
      <c r="Z16" s="973">
        <f t="shared" si="34"/>
        <v>810802335906.16187</v>
      </c>
      <c r="AA16" s="973">
        <f t="shared" si="35"/>
        <v>9000000000</v>
      </c>
      <c r="AB16" s="1187">
        <f t="shared" si="51"/>
        <v>819802335906.16187</v>
      </c>
      <c r="AC16" s="1188">
        <f t="shared" si="52"/>
        <v>8.9906049215257577E-2</v>
      </c>
      <c r="AE16" s="969">
        <f>'08_ATC_por_USOS'!G14</f>
        <v>0</v>
      </c>
      <c r="AF16" s="943">
        <f>'08_ATC_por_USOS'!K14</f>
        <v>0</v>
      </c>
      <c r="AG16" s="943">
        <f>'08_ATC_por_USOS'!O14</f>
        <v>0</v>
      </c>
      <c r="AH16" s="943">
        <f>'08_ATC_por_USOS'!S14</f>
        <v>0</v>
      </c>
      <c r="AI16" s="943">
        <f>'08_ATC_por_USOS'!W14</f>
        <v>121620.35038592429</v>
      </c>
      <c r="AJ16" s="943">
        <f>'08_ATC_por_USOS'!AY14</f>
        <v>0</v>
      </c>
      <c r="AK16" s="943">
        <f>'08_ATC_por_USOS'!BC14</f>
        <v>0</v>
      </c>
      <c r="AL16" s="943">
        <f>'08_ATC_por_USOS'!BM14</f>
        <v>0</v>
      </c>
      <c r="AM16" s="943">
        <f t="shared" si="53"/>
        <v>121620.35038592429</v>
      </c>
      <c r="AN16" s="943">
        <f>'11_Estacionamientos'!K16</f>
        <v>9008.9148434017989</v>
      </c>
      <c r="AO16" s="943">
        <f>'13b_ECP'!T13</f>
        <v>6888.0726885214908</v>
      </c>
      <c r="AP16" s="943">
        <f t="shared" si="54"/>
        <v>259137.68830377187</v>
      </c>
      <c r="AQ16" s="963">
        <f t="shared" si="55"/>
        <v>4780.4156503677968</v>
      </c>
      <c r="AS16" s="1194">
        <f t="shared" si="56"/>
        <v>0</v>
      </c>
      <c r="AT16" s="973">
        <f t="shared" si="57"/>
        <v>0</v>
      </c>
      <c r="AU16" s="973">
        <f t="shared" si="58"/>
        <v>0</v>
      </c>
      <c r="AV16" s="973">
        <f t="shared" si="59"/>
        <v>0</v>
      </c>
      <c r="AW16" s="973">
        <f t="shared" si="60"/>
        <v>383104103715.6615</v>
      </c>
      <c r="AX16" s="973">
        <f t="shared" si="61"/>
        <v>0</v>
      </c>
      <c r="AY16" s="973">
        <f t="shared" si="62"/>
        <v>0</v>
      </c>
      <c r="AZ16" s="973">
        <f t="shared" si="63"/>
        <v>0</v>
      </c>
      <c r="BA16" s="1195">
        <f t="shared" si="64"/>
        <v>383104103715.6615</v>
      </c>
      <c r="BB16" s="973">
        <f t="shared" si="65"/>
        <v>14414263749.442879</v>
      </c>
      <c r="BC16" s="973">
        <f t="shared" si="66"/>
        <v>23247245323.760033</v>
      </c>
      <c r="BD16" s="1196">
        <f t="shared" si="67"/>
        <v>956083130.0735594</v>
      </c>
      <c r="BE16" s="1197">
        <f t="shared" si="68"/>
        <v>421721695918.93793</v>
      </c>
      <c r="BF16" s="1198">
        <f t="shared" si="25"/>
        <v>0.5144187537021242</v>
      </c>
      <c r="BH16" s="1205">
        <f t="shared" si="36"/>
        <v>163960467181.23239</v>
      </c>
      <c r="BI16" s="1206">
        <f>'05c_Resumen_MORADORES'!G12</f>
        <v>8878424533.6995564</v>
      </c>
      <c r="BJ16" s="973">
        <f>'06_CARGAS'!W15</f>
        <v>12589383392.232136</v>
      </c>
      <c r="BK16" s="1206">
        <f>'15_Reparto_C&amp;B'!AM15</f>
        <v>67559806.365805775</v>
      </c>
      <c r="BL16" s="1206">
        <f>'15_Reparto_C&amp;B'!AN15</f>
        <v>380023910.80765754</v>
      </c>
      <c r="BM16" s="1206">
        <f>'15_Reparto_C&amp;B'!AO15</f>
        <v>1023168103.8307656</v>
      </c>
      <c r="BN16" s="1206">
        <f>'15_Reparto_C&amp;B'!AL15</f>
        <v>1712492023.9715431</v>
      </c>
      <c r="BO16" s="1206">
        <f>'15_Reparto_C&amp;B'!AG15</f>
        <v>0</v>
      </c>
      <c r="BP16" s="1206">
        <f>'09_CARGA_VISVIP'!R13</f>
        <v>8025321520.7991896</v>
      </c>
      <c r="BQ16" s="1206">
        <f>-'09_CARGA_VISVIP'!Z13</f>
        <v>0</v>
      </c>
      <c r="BR16" s="1207">
        <f t="shared" si="69"/>
        <v>196636840472.93909</v>
      </c>
      <c r="BS16" s="1208">
        <f t="shared" si="27"/>
        <v>0.23985884384628905</v>
      </c>
      <c r="BT16" s="1227"/>
      <c r="BU16" s="1232">
        <f t="shared" si="37"/>
        <v>618358536391.87695</v>
      </c>
      <c r="BV16" s="1236"/>
      <c r="BW16" s="1243">
        <f t="shared" si="38"/>
        <v>0</v>
      </c>
      <c r="BX16" s="1244">
        <f t="shared" si="39"/>
        <v>0</v>
      </c>
      <c r="BY16" s="1244">
        <f t="shared" si="40"/>
        <v>0</v>
      </c>
      <c r="BZ16" s="1244">
        <f t="shared" si="41"/>
        <v>0</v>
      </c>
      <c r="CA16" s="1244">
        <f t="shared" si="42"/>
        <v>72972210231.554565</v>
      </c>
      <c r="CB16" s="1244">
        <f t="shared" si="43"/>
        <v>0</v>
      </c>
      <c r="CC16" s="1244">
        <f t="shared" si="44"/>
        <v>0</v>
      </c>
      <c r="CD16" s="1244">
        <f t="shared" si="45"/>
        <v>0</v>
      </c>
      <c r="CE16" s="1244">
        <f t="shared" si="70"/>
        <v>72972210231.554565</v>
      </c>
      <c r="CF16" s="974">
        <f t="shared" si="29"/>
        <v>8.9011956950446267E-2</v>
      </c>
      <c r="CH16" s="1205">
        <f t="shared" si="46"/>
        <v>691330746623.43152</v>
      </c>
      <c r="CI16" s="1208">
        <f t="shared" si="31"/>
        <v>0.84328955449885934</v>
      </c>
      <c r="CK16" s="1249">
        <f t="shared" si="71"/>
        <v>0.15671044550114066</v>
      </c>
      <c r="CL16" s="973">
        <f t="shared" si="47"/>
        <v>128471589282.73039</v>
      </c>
      <c r="CM16" s="944">
        <f t="shared" si="48"/>
        <v>8708344.7675755955</v>
      </c>
      <c r="CN16" s="1147"/>
      <c r="CO16" s="1194">
        <f>'00_Datos_General'!$C$23</f>
        <v>3535000</v>
      </c>
      <c r="CP16" s="1252">
        <f t="shared" si="72"/>
        <v>5173344.7675755955</v>
      </c>
    </row>
    <row r="17" spans="18:27">
      <c r="R17" s="1148"/>
      <c r="S17" s="1148"/>
      <c r="T17" s="1148"/>
      <c r="U17" s="1148"/>
      <c r="V17" s="1148"/>
      <c r="W17" s="1148"/>
      <c r="X17" s="1148"/>
      <c r="Y17" s="1148"/>
      <c r="Z17" s="1148"/>
      <c r="AA17" s="1148"/>
    </row>
    <row r="19" spans="18:27">
      <c r="U19" s="1151"/>
    </row>
    <row r="22" spans="18:27">
      <c r="V22" s="1151"/>
    </row>
  </sheetData>
  <mergeCells count="19">
    <mergeCell ref="BH1:BS3"/>
    <mergeCell ref="CO1:CP3"/>
    <mergeCell ref="CE4:CF4"/>
    <mergeCell ref="BW1:CF3"/>
    <mergeCell ref="CH1:CI4"/>
    <mergeCell ref="CK1:CM3"/>
    <mergeCell ref="BU1:BU4"/>
    <mergeCell ref="BR4:BS4"/>
    <mergeCell ref="A1:A4"/>
    <mergeCell ref="B1:B4"/>
    <mergeCell ref="C1:C4"/>
    <mergeCell ref="D1:D4"/>
    <mergeCell ref="E1:E4"/>
    <mergeCell ref="AB4:AC4"/>
    <mergeCell ref="F1:P3"/>
    <mergeCell ref="R1:AC2"/>
    <mergeCell ref="BE4:BF4"/>
    <mergeCell ref="AS1:BF3"/>
    <mergeCell ref="AE1:AQ3"/>
  </mergeCells>
  <pageMargins left="0.7" right="0.7" top="0.75" bottom="0.75" header="0.3" footer="0.3"/>
  <ignoredErrors>
    <ignoredError sqref="BS8:BS16" formula="1"/>
  </ignoredError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5D773-415E-474D-B92E-6E62CE204F67}">
  <sheetPr>
    <tabColor rgb="FF7030A0"/>
  </sheetPr>
  <dimension ref="A1:F59"/>
  <sheetViews>
    <sheetView topLeftCell="A13" zoomScale="115" zoomScaleNormal="115" workbookViewId="0">
      <selection activeCell="E20" sqref="E20:E42"/>
    </sheetView>
  </sheetViews>
  <sheetFormatPr defaultColWidth="11.375" defaultRowHeight="13.9"/>
  <cols>
    <col min="1" max="1" width="11.375" style="3"/>
    <col min="2" max="2" width="66.625" style="42" bestFit="1" customWidth="1"/>
    <col min="3" max="3" width="9.625" style="7" bestFit="1" customWidth="1"/>
    <col min="4" max="4" width="10" style="7" customWidth="1"/>
    <col min="5" max="5" width="21.875" style="5" bestFit="1" customWidth="1"/>
    <col min="6" max="6" width="9" style="15" bestFit="1" customWidth="1"/>
    <col min="7" max="16384" width="11.375" style="42"/>
  </cols>
  <sheetData>
    <row r="1" spans="1:6" s="43" customFormat="1">
      <c r="A1" s="1512" t="s">
        <v>0</v>
      </c>
      <c r="B1" s="1512" t="s">
        <v>892</v>
      </c>
      <c r="C1" s="1512" t="s">
        <v>893</v>
      </c>
      <c r="D1" s="1512"/>
      <c r="E1" s="1512" t="s">
        <v>157</v>
      </c>
      <c r="F1" s="1512"/>
    </row>
    <row r="2" spans="1:6">
      <c r="A2" s="1512"/>
      <c r="B2" s="1512"/>
      <c r="C2" s="176" t="s">
        <v>55</v>
      </c>
      <c r="D2" s="176" t="s">
        <v>56</v>
      </c>
      <c r="E2" s="121" t="s">
        <v>55</v>
      </c>
      <c r="F2" s="1253" t="s">
        <v>56</v>
      </c>
    </row>
    <row r="3" spans="1:6">
      <c r="A3" s="92">
        <v>1</v>
      </c>
      <c r="B3" s="177" t="s">
        <v>894</v>
      </c>
      <c r="C3" s="92"/>
      <c r="D3" s="92"/>
      <c r="E3" s="1431">
        <f>'03_GENERAL'!E4</f>
        <v>170944.22947055</v>
      </c>
      <c r="F3" s="391" t="s">
        <v>164</v>
      </c>
    </row>
    <row r="4" spans="1:6">
      <c r="A4" s="92">
        <v>2</v>
      </c>
      <c r="B4" s="177" t="s">
        <v>895</v>
      </c>
      <c r="C4" s="92"/>
      <c r="D4" s="92"/>
      <c r="E4" s="1431">
        <f>'03_GENERAL'!E5</f>
        <v>2903.4422</v>
      </c>
      <c r="F4" s="391" t="s">
        <v>164</v>
      </c>
    </row>
    <row r="5" spans="1:6">
      <c r="A5" s="92">
        <v>3</v>
      </c>
      <c r="B5" s="177" t="s">
        <v>896</v>
      </c>
      <c r="C5" s="92"/>
      <c r="D5" s="92"/>
      <c r="E5" s="1431">
        <f>'03_GENERAL'!E8</f>
        <v>3264.0738000000001</v>
      </c>
      <c r="F5" s="391" t="s">
        <v>164</v>
      </c>
    </row>
    <row r="6" spans="1:6">
      <c r="A6" s="92">
        <v>4</v>
      </c>
      <c r="B6" s="177" t="s">
        <v>511</v>
      </c>
      <c r="C6" s="92"/>
      <c r="D6" s="92"/>
      <c r="E6" s="1431">
        <f>'03_GENERAL'!E10</f>
        <v>164776.71347054999</v>
      </c>
      <c r="F6" s="391" t="s">
        <v>164</v>
      </c>
    </row>
    <row r="7" spans="1:6">
      <c r="A7" s="92">
        <v>5</v>
      </c>
      <c r="B7" s="177" t="s">
        <v>897</v>
      </c>
      <c r="C7" s="92"/>
      <c r="D7" s="92"/>
      <c r="E7" s="1431">
        <f>'03_GENERAL'!E14</f>
        <v>0</v>
      </c>
      <c r="F7" s="391" t="s">
        <v>164</v>
      </c>
    </row>
    <row r="8" spans="1:6">
      <c r="A8" s="92">
        <v>6</v>
      </c>
      <c r="B8" s="177" t="s">
        <v>523</v>
      </c>
      <c r="C8" s="92"/>
      <c r="D8" s="92"/>
      <c r="E8" s="1431">
        <f>E6-E7</f>
        <v>164776.71347054999</v>
      </c>
      <c r="F8" s="391" t="s">
        <v>164</v>
      </c>
    </row>
    <row r="9" spans="1:6">
      <c r="A9" s="92">
        <v>7</v>
      </c>
      <c r="B9" s="177" t="s">
        <v>524</v>
      </c>
      <c r="C9" s="92"/>
      <c r="D9" s="92"/>
      <c r="E9" s="1431">
        <v>0</v>
      </c>
      <c r="F9" s="391" t="s">
        <v>164</v>
      </c>
    </row>
    <row r="10" spans="1:6">
      <c r="A10" s="92">
        <v>8</v>
      </c>
      <c r="B10" s="177" t="s">
        <v>898</v>
      </c>
      <c r="C10" s="92"/>
      <c r="D10" s="92"/>
      <c r="E10" s="1431">
        <f>E8-E9</f>
        <v>164776.71347054999</v>
      </c>
      <c r="F10" s="391" t="s">
        <v>164</v>
      </c>
    </row>
    <row r="11" spans="1:6">
      <c r="A11" s="92">
        <v>9</v>
      </c>
      <c r="B11" s="177" t="s">
        <v>899</v>
      </c>
      <c r="C11" s="391">
        <f>E11/E10</f>
        <v>0.64999999146604936</v>
      </c>
      <c r="D11" s="92" t="s">
        <v>220</v>
      </c>
      <c r="E11" s="1431">
        <f>SUM(E12:E14)</f>
        <v>107104.86234966115</v>
      </c>
      <c r="F11" s="391" t="s">
        <v>164</v>
      </c>
    </row>
    <row r="12" spans="1:6">
      <c r="A12" s="92"/>
      <c r="B12" s="184" t="str">
        <f>'03_GENERAL'!B27</f>
        <v>Cesión Espacio Público (Vías vehiculares + peatonales)</v>
      </c>
      <c r="C12" s="181"/>
      <c r="D12" s="181"/>
      <c r="E12" s="1432">
        <f>'03_GENERAL'!E27</f>
        <v>29501.324060209015</v>
      </c>
      <c r="F12" s="183" t="s">
        <v>164</v>
      </c>
    </row>
    <row r="13" spans="1:6">
      <c r="A13" s="92"/>
      <c r="B13" s="184" t="str">
        <f>'03_GENERAL'!B28</f>
        <v>Cesión Espacio Público (Zona Verde, plazas, plazoletas)</v>
      </c>
      <c r="C13" s="181"/>
      <c r="D13" s="181"/>
      <c r="E13" s="1432">
        <f>'03_GENERAL'!E28</f>
        <v>72340.479065592706</v>
      </c>
      <c r="F13" s="183" t="s">
        <v>164</v>
      </c>
    </row>
    <row r="14" spans="1:6">
      <c r="A14" s="92"/>
      <c r="B14" s="184" t="str">
        <f>'03_GENERAL'!B29</f>
        <v>Cesión Espacio Público (Equipamientos)</v>
      </c>
      <c r="C14" s="181"/>
      <c r="D14" s="181"/>
      <c r="E14" s="1432">
        <f>'03_GENERAL'!E29</f>
        <v>5263.0592238594272</v>
      </c>
      <c r="F14" s="183" t="s">
        <v>164</v>
      </c>
    </row>
    <row r="15" spans="1:6">
      <c r="A15" s="92">
        <v>10</v>
      </c>
      <c r="B15" s="177" t="str">
        <f>'03_GENERAL'!B31</f>
        <v>AREA UTIL (Desarrollable)</v>
      </c>
      <c r="C15" s="391">
        <f t="shared" ref="C15:C16" si="0">E15/$E$10</f>
        <v>0.34999999540479582</v>
      </c>
      <c r="D15" s="92" t="s">
        <v>220</v>
      </c>
      <c r="E15" s="1431">
        <f>'03_GENERAL'!E31</f>
        <v>57671.848957509857</v>
      </c>
      <c r="F15" s="391" t="s">
        <v>164</v>
      </c>
    </row>
    <row r="16" spans="1:6">
      <c r="A16" s="92">
        <v>11</v>
      </c>
      <c r="B16" s="177" t="s">
        <v>900</v>
      </c>
      <c r="C16" s="391">
        <f t="shared" si="0"/>
        <v>8.3287282635636326E-2</v>
      </c>
      <c r="D16" s="92" t="s">
        <v>220</v>
      </c>
      <c r="E16" s="1431">
        <f>'03_GENERAL'!E33</f>
        <v>13723.80470659296</v>
      </c>
      <c r="F16" s="391" t="s">
        <v>164</v>
      </c>
    </row>
    <row r="17" spans="1:6">
      <c r="A17" s="92">
        <v>12</v>
      </c>
      <c r="B17" s="177" t="s">
        <v>901</v>
      </c>
      <c r="C17" s="391">
        <f>E17/$E$10</f>
        <v>0.26671271276915953</v>
      </c>
      <c r="D17" s="92" t="s">
        <v>220</v>
      </c>
      <c r="E17" s="1431">
        <f>'03_GENERAL'!E34</f>
        <v>43948.044250916901</v>
      </c>
      <c r="F17" s="391" t="s">
        <v>164</v>
      </c>
    </row>
    <row r="18" spans="1:6">
      <c r="A18" s="92"/>
      <c r="B18" s="184"/>
      <c r="C18" s="181"/>
      <c r="D18" s="181"/>
      <c r="E18" s="182"/>
      <c r="F18" s="183"/>
    </row>
    <row r="19" spans="1:6">
      <c r="A19" s="1743" t="s">
        <v>902</v>
      </c>
      <c r="B19" s="1743"/>
      <c r="C19" s="1743"/>
      <c r="D19" s="1743"/>
      <c r="E19" s="1743"/>
      <c r="F19" s="1743"/>
    </row>
    <row r="20" spans="1:6">
      <c r="A20" s="92">
        <v>1</v>
      </c>
      <c r="B20" s="177" t="s">
        <v>832</v>
      </c>
      <c r="C20" s="92"/>
      <c r="D20" s="92"/>
      <c r="E20" s="95">
        <f>'16_SIM_UF_FINAL'!AB8</f>
        <v>9118433554380.1953</v>
      </c>
      <c r="F20" s="323">
        <f>E20/$E$20</f>
        <v>1</v>
      </c>
    </row>
    <row r="21" spans="1:6">
      <c r="A21" s="92">
        <v>2</v>
      </c>
      <c r="B21" s="177" t="s">
        <v>903</v>
      </c>
      <c r="C21" s="92"/>
      <c r="D21" s="92"/>
      <c r="E21" s="95">
        <f>'16_SIM_UF_FINAL'!BE8</f>
        <v>5144720420995.0117</v>
      </c>
      <c r="F21" s="323">
        <f t="shared" ref="F21:F38" si="1">E21/$E$20</f>
        <v>0.56421098978383821</v>
      </c>
    </row>
    <row r="22" spans="1:6">
      <c r="A22" s="92"/>
      <c r="B22" s="184" t="s">
        <v>904</v>
      </c>
      <c r="C22" s="92"/>
      <c r="D22" s="92"/>
      <c r="E22" s="1393">
        <f>'16_SIM_UF_FINAL'!BA8</f>
        <v>4665064443215.7598</v>
      </c>
      <c r="F22" s="324">
        <f t="shared" si="1"/>
        <v>0.51160809753061331</v>
      </c>
    </row>
    <row r="23" spans="1:6">
      <c r="A23" s="92"/>
      <c r="B23" s="184" t="s">
        <v>905</v>
      </c>
      <c r="C23" s="92"/>
      <c r="D23" s="92"/>
      <c r="E23" s="1393">
        <f>'16_SIM_UF_FINAL'!BB8</f>
        <v>189742043921.51416</v>
      </c>
      <c r="F23" s="324">
        <f t="shared" si="1"/>
        <v>2.0808622751916455E-2</v>
      </c>
    </row>
    <row r="24" spans="1:6">
      <c r="A24" s="92"/>
      <c r="B24" s="184" t="s">
        <v>906</v>
      </c>
      <c r="C24" s="92"/>
      <c r="D24" s="92"/>
      <c r="E24" s="1393">
        <f>'16_SIM_UF_FINAL'!BC8</f>
        <v>278379564066.23724</v>
      </c>
      <c r="F24" s="324">
        <f t="shared" si="1"/>
        <v>3.0529318704363741E-2</v>
      </c>
    </row>
    <row r="25" spans="1:6">
      <c r="A25" s="92"/>
      <c r="B25" s="184" t="s">
        <v>907</v>
      </c>
      <c r="C25" s="92"/>
      <c r="D25" s="92"/>
      <c r="E25" s="1393">
        <f>'16_SIM_UF_FINAL'!BD8</f>
        <v>11534369791.50197</v>
      </c>
      <c r="F25" s="324">
        <f t="shared" si="1"/>
        <v>1.2649507969448588E-3</v>
      </c>
    </row>
    <row r="26" spans="1:6">
      <c r="A26" s="92">
        <v>3</v>
      </c>
      <c r="B26" s="177" t="s">
        <v>863</v>
      </c>
      <c r="C26" s="92"/>
      <c r="D26" s="92"/>
      <c r="E26" s="95">
        <f>SUM(E27:E36)</f>
        <v>2009601939352.9431</v>
      </c>
      <c r="F26" s="323">
        <f t="shared" si="1"/>
        <v>0.2203889437114554</v>
      </c>
    </row>
    <row r="27" spans="1:6">
      <c r="A27" s="181"/>
      <c r="B27" s="184" t="s">
        <v>908</v>
      </c>
      <c r="C27" s="181"/>
      <c r="D27" s="181"/>
      <c r="E27" s="189">
        <f>'16_SIM_UF_FINAL'!BH8</f>
        <v>1823686710876.0393</v>
      </c>
      <c r="F27" s="324">
        <f t="shared" si="1"/>
        <v>0.20000000000000004</v>
      </c>
    </row>
    <row r="28" spans="1:6">
      <c r="A28" s="181" t="s">
        <v>65</v>
      </c>
      <c r="B28" s="184" t="s">
        <v>879</v>
      </c>
      <c r="C28" s="181"/>
      <c r="D28" s="181"/>
      <c r="E28" s="189">
        <f>'16_SIM_UF_FINAL'!BI8</f>
        <v>12907597977.931437</v>
      </c>
      <c r="F28" s="324">
        <f t="shared" si="1"/>
        <v>1.4155499298156371E-3</v>
      </c>
    </row>
    <row r="29" spans="1:6">
      <c r="A29" s="181" t="s">
        <v>68</v>
      </c>
      <c r="B29" s="184" t="s">
        <v>880</v>
      </c>
      <c r="C29" s="181"/>
      <c r="D29" s="181"/>
      <c r="E29" s="189">
        <f>'16_SIM_UF_FINAL'!BJ8</f>
        <v>138176226440.98502</v>
      </c>
      <c r="F29" s="324">
        <f t="shared" si="1"/>
        <v>1.5153504778746751E-2</v>
      </c>
    </row>
    <row r="30" spans="1:6">
      <c r="A30" s="181" t="s">
        <v>72</v>
      </c>
      <c r="B30" s="184" t="s">
        <v>844</v>
      </c>
      <c r="C30" s="181"/>
      <c r="D30" s="181"/>
      <c r="E30" s="189">
        <f>'16_SIM_UF_FINAL'!BK8</f>
        <v>1599999999.9999998</v>
      </c>
      <c r="F30" s="324">
        <f t="shared" si="1"/>
        <v>1.7546873489377048E-4</v>
      </c>
    </row>
    <row r="31" spans="1:6">
      <c r="A31" s="181" t="s">
        <v>74</v>
      </c>
      <c r="B31" s="184" t="s">
        <v>881</v>
      </c>
      <c r="C31" s="181"/>
      <c r="D31" s="181"/>
      <c r="E31" s="189">
        <f>'16_SIM_UF_FINAL'!BL8</f>
        <v>8999999999.9999981</v>
      </c>
      <c r="F31" s="324">
        <f t="shared" si="1"/>
        <v>9.8701163377745899E-4</v>
      </c>
    </row>
    <row r="32" spans="1:6">
      <c r="A32" s="181" t="s">
        <v>77</v>
      </c>
      <c r="B32" s="184" t="s">
        <v>846</v>
      </c>
      <c r="C32" s="181"/>
      <c r="D32" s="181"/>
      <c r="E32" s="189">
        <f>'16_SIM_UF_FINAL'!BM8</f>
        <v>24231404057.987335</v>
      </c>
      <c r="F32" s="324">
        <f t="shared" si="1"/>
        <v>2.6574086342217593E-3</v>
      </c>
    </row>
    <row r="33" spans="1:6">
      <c r="A33" s="181" t="s">
        <v>79</v>
      </c>
      <c r="B33" s="184" t="s">
        <v>882</v>
      </c>
      <c r="C33" s="181"/>
      <c r="D33" s="181"/>
      <c r="E33" s="189">
        <f>'16_SIM_UF_FINAL'!BN8</f>
        <v>40556469678.416145</v>
      </c>
      <c r="F33" s="324">
        <f t="shared" si="1"/>
        <v>4.4477452663932776E-3</v>
      </c>
    </row>
    <row r="34" spans="1:6">
      <c r="A34" s="181" t="s">
        <v>81</v>
      </c>
      <c r="B34" s="184" t="s">
        <v>883</v>
      </c>
      <c r="C34" s="181"/>
      <c r="D34" s="181"/>
      <c r="E34" s="189">
        <f>'16_SIM_UF_FINAL'!BO8</f>
        <v>-40556469678.416153</v>
      </c>
      <c r="F34" s="324">
        <f t="shared" si="1"/>
        <v>-4.4477452663932784E-3</v>
      </c>
    </row>
    <row r="35" spans="1:6">
      <c r="A35" s="181"/>
      <c r="B35" s="184" t="s">
        <v>884</v>
      </c>
      <c r="C35" s="181"/>
      <c r="D35" s="181"/>
      <c r="E35" s="189">
        <f>'16_SIM_UF_FINAL'!BP8</f>
        <v>15041671361.958187</v>
      </c>
      <c r="F35" s="324">
        <f t="shared" si="1"/>
        <v>1.6495894028566631E-3</v>
      </c>
    </row>
    <row r="36" spans="1:6">
      <c r="A36" s="181"/>
      <c r="B36" s="184" t="s">
        <v>885</v>
      </c>
      <c r="C36" s="181"/>
      <c r="D36" s="181"/>
      <c r="E36" s="189">
        <f>'16_SIM_UF_FINAL'!BQ8</f>
        <v>-15041671361.958202</v>
      </c>
      <c r="F36" s="324">
        <f t="shared" si="1"/>
        <v>-1.6495894028566648E-3</v>
      </c>
    </row>
    <row r="37" spans="1:6">
      <c r="A37" s="92">
        <v>4</v>
      </c>
      <c r="B37" s="177" t="s">
        <v>909</v>
      </c>
      <c r="C37" s="92"/>
      <c r="D37" s="92"/>
      <c r="E37" s="95">
        <f>'16_SIM_UF_FINAL'!CE8</f>
        <v>870351934498.50281</v>
      </c>
      <c r="F37" s="323">
        <f t="shared" si="1"/>
        <v>9.5449720536748814E-2</v>
      </c>
    </row>
    <row r="38" spans="1:6">
      <c r="A38" s="92">
        <v>5</v>
      </c>
      <c r="B38" s="177" t="s">
        <v>910</v>
      </c>
      <c r="C38" s="92"/>
      <c r="D38" s="92"/>
      <c r="E38" s="95">
        <f>'16_SIM_UF_FINAL'!CL8</f>
        <v>1093759259533.7367</v>
      </c>
      <c r="F38" s="323">
        <f t="shared" si="1"/>
        <v>0.11995034596795748</v>
      </c>
    </row>
    <row r="39" spans="1:6">
      <c r="A39" s="185"/>
      <c r="B39" s="186" t="s">
        <v>911</v>
      </c>
      <c r="C39" s="187"/>
      <c r="D39" s="187"/>
      <c r="E39" s="1433">
        <f>'15_Reparto_C&amp;B'!AD7</f>
        <v>582485674470.84949</v>
      </c>
      <c r="F39" s="188"/>
    </row>
    <row r="40" spans="1:6">
      <c r="A40" s="185"/>
      <c r="B40" s="186" t="s">
        <v>912</v>
      </c>
      <c r="C40" s="187"/>
      <c r="D40" s="187"/>
      <c r="E40" s="1433">
        <f>E38-E39</f>
        <v>511273585062.88721</v>
      </c>
      <c r="F40" s="188"/>
    </row>
    <row r="41" spans="1:6">
      <c r="A41" s="185"/>
      <c r="B41" s="186" t="s">
        <v>913</v>
      </c>
      <c r="C41" s="187"/>
      <c r="D41" s="187"/>
      <c r="E41" s="1433">
        <v>3535000</v>
      </c>
      <c r="F41" s="188" t="s">
        <v>39</v>
      </c>
    </row>
    <row r="42" spans="1:6">
      <c r="A42" s="381"/>
      <c r="B42" s="382" t="s">
        <v>914</v>
      </c>
      <c r="C42" s="383"/>
      <c r="D42" s="383"/>
      <c r="E42" s="1434">
        <f>E38/E8</f>
        <v>6637826.6473267218</v>
      </c>
      <c r="F42" s="188" t="s">
        <v>39</v>
      </c>
    </row>
    <row r="43" spans="1:6">
      <c r="A43" s="367" t="s">
        <v>0</v>
      </c>
      <c r="B43" s="368" t="s">
        <v>707</v>
      </c>
      <c r="C43" s="1527" t="s">
        <v>145</v>
      </c>
      <c r="D43" s="1527"/>
      <c r="E43" s="1526" t="s">
        <v>157</v>
      </c>
      <c r="F43" s="1526"/>
    </row>
    <row r="44" spans="1:6">
      <c r="A44" s="369">
        <v>1</v>
      </c>
      <c r="B44" s="370" t="str">
        <f>'08_ATC_por_USOS'!G2</f>
        <v xml:space="preserve">a_CS - Creativos </v>
      </c>
      <c r="C44" s="371">
        <f>'08_ATC_por_USOS'!J4</f>
        <v>50</v>
      </c>
      <c r="D44" s="372" t="s">
        <v>915</v>
      </c>
      <c r="E44" s="1435">
        <f>'08_ATC_por_USOS'!J6</f>
        <v>587</v>
      </c>
      <c r="F44" s="374" t="s">
        <v>56</v>
      </c>
    </row>
    <row r="45" spans="1:6">
      <c r="A45" s="369">
        <v>2</v>
      </c>
      <c r="B45" s="370" t="str">
        <f>'08_ATC_por_USOS'!K2</f>
        <v>b_CS - General (Comercio + Oficinas + Hospedaje)</v>
      </c>
      <c r="C45" s="371">
        <f>'08_ATC_por_USOS'!N4</f>
        <v>70</v>
      </c>
      <c r="D45" s="372" t="s">
        <v>915</v>
      </c>
      <c r="E45" s="1435">
        <f>'08_ATC_por_USOS'!N6</f>
        <v>1358</v>
      </c>
      <c r="F45" s="374" t="s">
        <v>56</v>
      </c>
    </row>
    <row r="46" spans="1:6">
      <c r="A46" s="369">
        <v>3</v>
      </c>
      <c r="B46" s="370" t="str">
        <f>'08_ATC_por_USOS'!O2</f>
        <v>c_CS - Grandes Superficies</v>
      </c>
      <c r="C46" s="371" t="str">
        <f>'08_ATC_por_USOS'!R4</f>
        <v>n.a.</v>
      </c>
      <c r="D46" s="372" t="s">
        <v>915</v>
      </c>
      <c r="E46" s="1435">
        <f>'08_ATC_por_USOS'!R6</f>
        <v>1</v>
      </c>
      <c r="F46" s="374" t="s">
        <v>56</v>
      </c>
    </row>
    <row r="47" spans="1:6">
      <c r="A47" s="369">
        <v>4</v>
      </c>
      <c r="B47" s="370" t="str">
        <f>'08_ATC_por_USOS'!S2</f>
        <v>d_CS - Torre Empresarial (Oficinas + Hospedaje)</v>
      </c>
      <c r="C47" s="371">
        <f>'08_ATC_por_USOS'!V4</f>
        <v>100</v>
      </c>
      <c r="D47" s="372" t="s">
        <v>915</v>
      </c>
      <c r="E47" s="1435">
        <f>'08_ATC_por_USOS'!V6</f>
        <v>693</v>
      </c>
      <c r="F47" s="374" t="s">
        <v>56</v>
      </c>
    </row>
    <row r="48" spans="1:6">
      <c r="A48" s="369">
        <v>5</v>
      </c>
      <c r="B48" s="370" t="str">
        <f>'08_ATC_por_USOS'!W2</f>
        <v>e_CS - Innovation (H, CS, Gamers)</v>
      </c>
      <c r="C48" s="371">
        <f>'08_ATC_por_USOS'!Z4</f>
        <v>50</v>
      </c>
      <c r="D48" s="372" t="s">
        <v>915</v>
      </c>
      <c r="E48" s="1435">
        <f>'08_ATC_por_USOS'!Z6</f>
        <v>1802</v>
      </c>
      <c r="F48" s="374" t="s">
        <v>56</v>
      </c>
    </row>
    <row r="49" spans="1:6">
      <c r="A49" s="369">
        <v>6</v>
      </c>
      <c r="B49" s="370" t="str">
        <f>'08_ATC_por_USOS'!AA2</f>
        <v>i_RES - No VIS</v>
      </c>
      <c r="C49" s="371">
        <f>'08_ATC_por_USOS'!AD4</f>
        <v>70</v>
      </c>
      <c r="D49" s="372" t="s">
        <v>93</v>
      </c>
      <c r="E49" s="1435">
        <f>'08_ATC_por_USOS'!BP6</f>
        <v>10697</v>
      </c>
      <c r="F49" s="374" t="s">
        <v>56</v>
      </c>
    </row>
    <row r="50" spans="1:6">
      <c r="A50" s="369">
        <v>7</v>
      </c>
      <c r="B50" s="375" t="str">
        <f>'08_ATC_por_USOS'!AJ2</f>
        <v>h_VIS_RU</v>
      </c>
      <c r="C50" s="371">
        <f>'00_Datos_General'!G10</f>
        <v>48</v>
      </c>
      <c r="D50" s="372" t="s">
        <v>93</v>
      </c>
      <c r="E50" s="1435">
        <f>'08_ATC_por_USOS'!BB6</f>
        <v>1782</v>
      </c>
      <c r="F50" s="374" t="s">
        <v>56</v>
      </c>
    </row>
    <row r="51" spans="1:6">
      <c r="A51" s="369">
        <v>8</v>
      </c>
      <c r="B51" s="375" t="str">
        <f>'08_ATC_por_USOS'!AN2</f>
        <v>i_VIP RU</v>
      </c>
      <c r="C51" s="371">
        <f>'00_Datos_General'!G11</f>
        <v>42</v>
      </c>
      <c r="D51" s="372" t="s">
        <v>93</v>
      </c>
      <c r="E51" s="1435">
        <f>'08_ATC_por_USOS'!BF6</f>
        <v>1528</v>
      </c>
      <c r="F51" s="374" t="s">
        <v>56</v>
      </c>
    </row>
    <row r="52" spans="1:6">
      <c r="A52" s="369">
        <v>9</v>
      </c>
      <c r="B52" s="376" t="s">
        <v>916</v>
      </c>
      <c r="C52" s="369"/>
      <c r="D52" s="369"/>
      <c r="E52" s="1436">
        <f>SUM(E49:E51)</f>
        <v>14007</v>
      </c>
      <c r="F52" s="378" t="s">
        <v>56</v>
      </c>
    </row>
    <row r="53" spans="1:6">
      <c r="A53" s="369">
        <v>10</v>
      </c>
      <c r="B53" s="376" t="s">
        <v>917</v>
      </c>
      <c r="C53" s="369">
        <v>2.8</v>
      </c>
      <c r="D53" s="369" t="s">
        <v>918</v>
      </c>
      <c r="E53" s="1436">
        <f>E52*C53</f>
        <v>39219.599999999999</v>
      </c>
      <c r="F53" s="378" t="s">
        <v>56</v>
      </c>
    </row>
    <row r="54" spans="1:6">
      <c r="A54" s="369">
        <v>11</v>
      </c>
      <c r="B54" s="376" t="s">
        <v>919</v>
      </c>
      <c r="C54" s="372"/>
      <c r="D54" s="372"/>
      <c r="E54" s="377">
        <f>E13/E53</f>
        <v>1.8444981352587153</v>
      </c>
      <c r="F54" s="378" t="s">
        <v>920</v>
      </c>
    </row>
    <row r="56" spans="1:6">
      <c r="A56" s="367" t="s">
        <v>0</v>
      </c>
      <c r="B56" s="368" t="s">
        <v>54</v>
      </c>
      <c r="C56" s="1527" t="s">
        <v>145</v>
      </c>
      <c r="D56" s="1527"/>
      <c r="E56" s="1526" t="s">
        <v>157</v>
      </c>
      <c r="F56" s="1526"/>
    </row>
    <row r="57" spans="1:6">
      <c r="A57" s="369"/>
      <c r="B57" s="376" t="s">
        <v>921</v>
      </c>
      <c r="C57" s="372"/>
      <c r="D57" s="372"/>
      <c r="E57" s="1436">
        <f>'08_ATC_por_USOS'!BS6</f>
        <v>1036094.3908122922</v>
      </c>
      <c r="F57" s="378" t="s">
        <v>164</v>
      </c>
    </row>
    <row r="58" spans="1:6">
      <c r="A58" s="369"/>
      <c r="B58" s="375" t="s">
        <v>922</v>
      </c>
      <c r="C58" s="372"/>
      <c r="D58" s="374">
        <f>E58/E57</f>
        <v>8.2614306200827423E-2</v>
      </c>
      <c r="E58" s="1435">
        <f>'08_ATC_por_USOS'!AL6</f>
        <v>85596.219255526463</v>
      </c>
      <c r="F58" s="374" t="s">
        <v>164</v>
      </c>
    </row>
    <row r="59" spans="1:6">
      <c r="A59" s="369"/>
      <c r="B59" s="375" t="s">
        <v>923</v>
      </c>
      <c r="C59" s="372"/>
      <c r="D59" s="374">
        <f>E59/E57</f>
        <v>6.196072965062057E-2</v>
      </c>
      <c r="E59" s="1435">
        <f>'08_ATC_por_USOS'!AP6</f>
        <v>64197.164441644854</v>
      </c>
      <c r="F59" s="374" t="s">
        <v>164</v>
      </c>
    </row>
  </sheetData>
  <mergeCells count="9">
    <mergeCell ref="C1:D1"/>
    <mergeCell ref="E1:F1"/>
    <mergeCell ref="B1:B2"/>
    <mergeCell ref="A1:A2"/>
    <mergeCell ref="C56:D56"/>
    <mergeCell ref="E56:F56"/>
    <mergeCell ref="A19:F19"/>
    <mergeCell ref="C43:D43"/>
    <mergeCell ref="E43:F4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711BF-7A91-49BF-81C9-BA191A84CD29}">
  <sheetPr>
    <tabColor rgb="FF7030A0"/>
  </sheetPr>
  <dimension ref="A1:X76"/>
  <sheetViews>
    <sheetView tabSelected="1" topLeftCell="A33" zoomScale="89" zoomScaleNormal="160" workbookViewId="0">
      <pane ySplit="2" topLeftCell="A35" activePane="bottomLeft" state="frozen"/>
      <selection pane="bottomLeft" activeCell="K55" sqref="K55"/>
      <selection activeCell="A33" sqref="A33"/>
    </sheetView>
  </sheetViews>
  <sheetFormatPr defaultColWidth="11.375" defaultRowHeight="10.15"/>
  <cols>
    <col min="1" max="1" width="4.125" style="220" bestFit="1" customWidth="1"/>
    <col min="2" max="2" width="38.625" style="209" bestFit="1" customWidth="1"/>
    <col min="3" max="3" width="5" style="209" bestFit="1" customWidth="1"/>
    <col min="4" max="4" width="5.625" style="211" bestFit="1" customWidth="1"/>
    <col min="5" max="5" width="18.875" style="1465" bestFit="1" customWidth="1"/>
    <col min="6" max="6" width="4.375" style="217" customWidth="1"/>
    <col min="7" max="7" width="19.5" style="1450" bestFit="1" customWidth="1"/>
    <col min="8" max="8" width="7.875" style="217" customWidth="1"/>
    <col min="9" max="9" width="21.25" style="1450" bestFit="1" customWidth="1"/>
    <col min="10" max="10" width="7.875" style="217" customWidth="1"/>
    <col min="11" max="11" width="21.25" style="217" bestFit="1" customWidth="1"/>
    <col min="12" max="12" width="7.875" style="253" bestFit="1" customWidth="1"/>
    <col min="13" max="13" width="18" style="217" bestFit="1" customWidth="1"/>
    <col min="14" max="14" width="7.875" style="253" bestFit="1" customWidth="1"/>
    <col min="15" max="15" width="18" style="217" bestFit="1" customWidth="1"/>
    <col min="16" max="16" width="7.875" style="253" bestFit="1" customWidth="1"/>
    <col min="17" max="17" width="18" style="217" bestFit="1" customWidth="1"/>
    <col min="18" max="18" width="7.875" style="253" bestFit="1" customWidth="1"/>
    <col min="19" max="19" width="18" style="217" bestFit="1" customWidth="1"/>
    <col min="20" max="20" width="7.875" style="253" bestFit="1" customWidth="1"/>
    <col min="21" max="21" width="16.625" style="217" bestFit="1" customWidth="1"/>
    <col min="22" max="22" width="7.875" style="253" bestFit="1" customWidth="1"/>
    <col min="23" max="16384" width="11.375" style="209"/>
  </cols>
  <sheetData>
    <row r="1" spans="1:22" ht="15" customHeight="1">
      <c r="A1" s="1472" t="s">
        <v>0</v>
      </c>
      <c r="B1" s="236" t="s">
        <v>1</v>
      </c>
      <c r="C1" s="1474" t="s">
        <v>13</v>
      </c>
      <c r="D1" s="1474"/>
      <c r="E1" s="1451" t="s">
        <v>157</v>
      </c>
      <c r="F1" s="208"/>
      <c r="G1" s="1499" t="s">
        <v>607</v>
      </c>
      <c r="H1" s="1500"/>
      <c r="I1" s="1502" t="s">
        <v>610</v>
      </c>
      <c r="J1" s="1503"/>
      <c r="K1" s="1499" t="s">
        <v>613</v>
      </c>
      <c r="L1" s="1500"/>
      <c r="M1" s="1502" t="s">
        <v>614</v>
      </c>
      <c r="N1" s="1503"/>
      <c r="O1" s="1499" t="s">
        <v>616</v>
      </c>
      <c r="P1" s="1500"/>
      <c r="Q1" s="1502" t="s">
        <v>617</v>
      </c>
      <c r="R1" s="1503"/>
      <c r="S1" s="1499" t="s">
        <v>619</v>
      </c>
      <c r="T1" s="1500"/>
      <c r="U1" s="1502" t="s">
        <v>620</v>
      </c>
      <c r="V1" s="1503"/>
    </row>
    <row r="2" spans="1:22">
      <c r="A2" s="1473"/>
      <c r="B2" s="207"/>
      <c r="C2" s="206" t="s">
        <v>504</v>
      </c>
      <c r="D2" s="206" t="s">
        <v>56</v>
      </c>
      <c r="E2" s="1452" t="s">
        <v>55</v>
      </c>
      <c r="F2" s="208"/>
      <c r="G2" s="225" t="s">
        <v>924</v>
      </c>
      <c r="H2" s="226" t="s">
        <v>220</v>
      </c>
      <c r="I2" s="227" t="s">
        <v>924</v>
      </c>
      <c r="J2" s="228" t="s">
        <v>220</v>
      </c>
      <c r="K2" s="225" t="s">
        <v>924</v>
      </c>
      <c r="L2" s="345" t="s">
        <v>220</v>
      </c>
      <c r="M2" s="227" t="s">
        <v>924</v>
      </c>
      <c r="N2" s="359" t="s">
        <v>220</v>
      </c>
      <c r="O2" s="225" t="s">
        <v>924</v>
      </c>
      <c r="P2" s="345" t="s">
        <v>220</v>
      </c>
      <c r="Q2" s="227" t="s">
        <v>924</v>
      </c>
      <c r="R2" s="359" t="s">
        <v>220</v>
      </c>
      <c r="S2" s="225" t="s">
        <v>924</v>
      </c>
      <c r="T2" s="345" t="s">
        <v>220</v>
      </c>
      <c r="U2" s="227" t="s">
        <v>924</v>
      </c>
      <c r="V2" s="359" t="s">
        <v>220</v>
      </c>
    </row>
    <row r="3" spans="1:22" s="211" customFormat="1">
      <c r="A3" s="229"/>
      <c r="B3" s="204"/>
      <c r="C3" s="204"/>
      <c r="D3" s="204"/>
      <c r="E3" s="1453" t="s">
        <v>164</v>
      </c>
      <c r="F3" s="210"/>
      <c r="G3" s="1437" t="s">
        <v>164</v>
      </c>
      <c r="H3" s="237" t="s">
        <v>220</v>
      </c>
      <c r="I3" s="1437" t="s">
        <v>164</v>
      </c>
      <c r="J3" s="237" t="s">
        <v>220</v>
      </c>
      <c r="K3" s="241" t="s">
        <v>164</v>
      </c>
      <c r="L3" s="346" t="s">
        <v>220</v>
      </c>
      <c r="M3" s="241" t="s">
        <v>164</v>
      </c>
      <c r="N3" s="346" t="s">
        <v>220</v>
      </c>
      <c r="O3" s="241" t="s">
        <v>164</v>
      </c>
      <c r="P3" s="346" t="s">
        <v>220</v>
      </c>
      <c r="Q3" s="241" t="s">
        <v>164</v>
      </c>
      <c r="R3" s="346" t="s">
        <v>220</v>
      </c>
      <c r="S3" s="241" t="s">
        <v>164</v>
      </c>
      <c r="T3" s="346" t="s">
        <v>220</v>
      </c>
      <c r="U3" s="241" t="s">
        <v>164</v>
      </c>
      <c r="V3" s="346" t="s">
        <v>220</v>
      </c>
    </row>
    <row r="4" spans="1:22">
      <c r="A4" s="229">
        <v>1</v>
      </c>
      <c r="B4" s="205" t="s">
        <v>505</v>
      </c>
      <c r="C4" s="212"/>
      <c r="D4" s="204"/>
      <c r="E4" s="1454">
        <f>'01_JURIDICO'!X3</f>
        <v>170944.22947055</v>
      </c>
      <c r="F4" s="213"/>
      <c r="G4" s="1438"/>
      <c r="H4" s="224"/>
      <c r="I4" s="1438"/>
      <c r="J4" s="224"/>
      <c r="K4" s="223"/>
      <c r="L4" s="347"/>
      <c r="M4" s="223"/>
      <c r="N4" s="347"/>
      <c r="O4" s="223"/>
      <c r="P4" s="347"/>
      <c r="Q4" s="223"/>
      <c r="R4" s="347"/>
      <c r="S4" s="223"/>
      <c r="T4" s="347"/>
      <c r="U4" s="223"/>
      <c r="V4" s="347"/>
    </row>
    <row r="5" spans="1:22">
      <c r="A5" s="229">
        <v>2</v>
      </c>
      <c r="B5" s="205" t="s">
        <v>506</v>
      </c>
      <c r="C5" s="212"/>
      <c r="D5" s="204"/>
      <c r="E5" s="1454">
        <f>SUM(E6:E7)</f>
        <v>2903.4422</v>
      </c>
      <c r="F5" s="213"/>
      <c r="G5" s="1438"/>
      <c r="H5" s="224"/>
      <c r="I5" s="1438"/>
      <c r="J5" s="224"/>
      <c r="K5" s="223"/>
      <c r="L5" s="347"/>
      <c r="M5" s="223"/>
      <c r="N5" s="347"/>
      <c r="O5" s="223"/>
      <c r="P5" s="347"/>
      <c r="Q5" s="223"/>
      <c r="R5" s="347"/>
      <c r="S5" s="223"/>
      <c r="T5" s="347"/>
      <c r="U5" s="223"/>
      <c r="V5" s="347"/>
    </row>
    <row r="6" spans="1:22">
      <c r="A6" s="229"/>
      <c r="B6" s="212" t="s">
        <v>507</v>
      </c>
      <c r="C6" s="212"/>
      <c r="D6" s="204"/>
      <c r="E6" s="1455">
        <v>729.40740000000005</v>
      </c>
      <c r="F6" s="213"/>
      <c r="G6" s="1438"/>
      <c r="H6" s="224"/>
      <c r="I6" s="1438"/>
      <c r="J6" s="224"/>
      <c r="K6" s="223"/>
      <c r="L6" s="347"/>
      <c r="M6" s="223"/>
      <c r="N6" s="347"/>
      <c r="O6" s="223"/>
      <c r="P6" s="347"/>
      <c r="Q6" s="223"/>
      <c r="R6" s="347"/>
      <c r="S6" s="223"/>
      <c r="T6" s="347"/>
      <c r="U6" s="223"/>
      <c r="V6" s="347"/>
    </row>
    <row r="7" spans="1:22">
      <c r="A7" s="229"/>
      <c r="B7" s="212" t="s">
        <v>508</v>
      </c>
      <c r="C7" s="212"/>
      <c r="D7" s="204"/>
      <c r="E7" s="1455">
        <v>2174.0347999999999</v>
      </c>
      <c r="F7" s="213"/>
      <c r="G7" s="1438"/>
      <c r="H7" s="224"/>
      <c r="I7" s="1438"/>
      <c r="J7" s="224"/>
      <c r="K7" s="223"/>
      <c r="L7" s="347"/>
      <c r="M7" s="223"/>
      <c r="N7" s="347"/>
      <c r="O7" s="223"/>
      <c r="P7" s="347"/>
      <c r="Q7" s="223"/>
      <c r="R7" s="347"/>
      <c r="S7" s="223"/>
      <c r="T7" s="347"/>
      <c r="U7" s="223"/>
      <c r="V7" s="347"/>
    </row>
    <row r="8" spans="1:22">
      <c r="A8" s="229">
        <v>3</v>
      </c>
      <c r="B8" s="205" t="s">
        <v>509</v>
      </c>
      <c r="C8" s="212"/>
      <c r="D8" s="204"/>
      <c r="E8" s="1454">
        <f>SUM(E9)</f>
        <v>3264.0738000000001</v>
      </c>
      <c r="F8" s="213"/>
      <c r="G8" s="1438"/>
      <c r="H8" s="224"/>
      <c r="I8" s="1438"/>
      <c r="J8" s="224"/>
      <c r="K8" s="223"/>
      <c r="L8" s="347"/>
      <c r="M8" s="223"/>
      <c r="N8" s="347"/>
      <c r="O8" s="223"/>
      <c r="P8" s="347"/>
      <c r="Q8" s="223"/>
      <c r="R8" s="347"/>
      <c r="S8" s="223"/>
      <c r="T8" s="347"/>
      <c r="U8" s="223"/>
      <c r="V8" s="347"/>
    </row>
    <row r="9" spans="1:22">
      <c r="A9" s="229"/>
      <c r="B9" s="212" t="s">
        <v>510</v>
      </c>
      <c r="C9" s="212"/>
      <c r="D9" s="204"/>
      <c r="E9" s="1455">
        <v>3264.0738000000001</v>
      </c>
      <c r="F9" s="213"/>
      <c r="G9" s="1438"/>
      <c r="H9" s="224"/>
      <c r="I9" s="1438"/>
      <c r="J9" s="224"/>
      <c r="K9" s="223"/>
      <c r="L9" s="347"/>
      <c r="M9" s="223"/>
      <c r="N9" s="347"/>
      <c r="O9" s="223"/>
      <c r="P9" s="347"/>
      <c r="Q9" s="223"/>
      <c r="R9" s="347"/>
      <c r="S9" s="223"/>
      <c r="T9" s="347"/>
      <c r="U9" s="223"/>
      <c r="V9" s="347"/>
    </row>
    <row r="10" spans="1:22">
      <c r="A10" s="229">
        <v>5</v>
      </c>
      <c r="B10" s="205" t="s">
        <v>511</v>
      </c>
      <c r="C10" s="212"/>
      <c r="D10" s="204"/>
      <c r="E10" s="1454">
        <f>E4-SUM(E5,E8)</f>
        <v>164776.71347054999</v>
      </c>
      <c r="F10" s="213"/>
      <c r="G10" s="1439">
        <f>'04c_Resumen_MO'!$B6</f>
        <v>17268.248534736002</v>
      </c>
      <c r="H10" s="238"/>
      <c r="I10" s="1439">
        <f>'04c_Resumen_MO'!$B7</f>
        <v>15602.531511536001</v>
      </c>
      <c r="J10" s="238"/>
      <c r="K10" s="242">
        <f>'04c_Resumen_MO'!$B8</f>
        <v>19436.47454042</v>
      </c>
      <c r="L10" s="348"/>
      <c r="M10" s="242">
        <f>'04c_Resumen_MO'!$B9</f>
        <v>25621.213912839001</v>
      </c>
      <c r="N10" s="348"/>
      <c r="O10" s="242">
        <f>'04c_Resumen_MO'!$B10</f>
        <v>27038.024665190002</v>
      </c>
      <c r="P10" s="348"/>
      <c r="Q10" s="242">
        <f>'04c_Resumen_MO'!$B11</f>
        <v>21089.89942655</v>
      </c>
      <c r="R10" s="348"/>
      <c r="S10" s="242">
        <f>'04c_Resumen_MO'!$B12</f>
        <v>23967.619699999999</v>
      </c>
      <c r="T10" s="348"/>
      <c r="U10" s="242">
        <f>'04c_Resumen_MO'!$B13</f>
        <v>14752.6990159</v>
      </c>
      <c r="V10" s="347"/>
    </row>
    <row r="11" spans="1:22">
      <c r="A11" s="229">
        <v>6</v>
      </c>
      <c r="B11" s="205" t="s">
        <v>59</v>
      </c>
      <c r="C11" s="212"/>
      <c r="D11" s="204"/>
      <c r="E11" s="1455"/>
      <c r="F11" s="213"/>
      <c r="G11" s="1438"/>
      <c r="H11" s="224"/>
      <c r="I11" s="1438"/>
      <c r="J11" s="224"/>
      <c r="K11" s="223"/>
      <c r="L11" s="347"/>
      <c r="M11" s="223"/>
      <c r="N11" s="347"/>
      <c r="O11" s="223"/>
      <c r="P11" s="347"/>
      <c r="Q11" s="223"/>
      <c r="R11" s="347"/>
      <c r="S11" s="223"/>
      <c r="T11" s="347"/>
      <c r="U11" s="223"/>
      <c r="V11" s="347"/>
    </row>
    <row r="12" spans="1:22">
      <c r="A12" s="229"/>
      <c r="B12" s="205" t="s">
        <v>512</v>
      </c>
      <c r="C12" s="214">
        <v>0.65</v>
      </c>
      <c r="D12" s="203" t="s">
        <v>220</v>
      </c>
      <c r="E12" s="1454">
        <f>E10*C12</f>
        <v>107104.8637558575</v>
      </c>
      <c r="F12" s="213"/>
      <c r="G12" s="1438"/>
      <c r="H12" s="224"/>
      <c r="I12" s="1438"/>
      <c r="J12" s="224"/>
      <c r="K12" s="223"/>
      <c r="L12" s="347"/>
      <c r="M12" s="223"/>
      <c r="N12" s="347"/>
      <c r="O12" s="223"/>
      <c r="P12" s="347"/>
      <c r="Q12" s="223"/>
      <c r="R12" s="347"/>
      <c r="S12" s="223"/>
      <c r="T12" s="347"/>
      <c r="U12" s="223"/>
      <c r="V12" s="347"/>
    </row>
    <row r="13" spans="1:22">
      <c r="A13" s="229"/>
      <c r="B13" s="205" t="s">
        <v>513</v>
      </c>
      <c r="C13" s="214">
        <f>E13/E10</f>
        <v>0.64999999146604925</v>
      </c>
      <c r="D13" s="203"/>
      <c r="E13" s="1454">
        <f>SUM(G13:U13)</f>
        <v>107104.86234966114</v>
      </c>
      <c r="F13" s="213"/>
      <c r="G13" s="1438">
        <f>'04c_Resumen_MO'!$F6</f>
        <v>12991.359347873164</v>
      </c>
      <c r="H13" s="224"/>
      <c r="I13" s="1438">
        <f>'04c_Resumen_MO'!$F7</f>
        <v>8702.187611575433</v>
      </c>
      <c r="J13" s="224"/>
      <c r="K13" s="223">
        <f>'04c_Resumen_MO'!$F8</f>
        <v>12077.36637883454</v>
      </c>
      <c r="L13" s="347"/>
      <c r="M13" s="223">
        <f>'04c_Resumen_MO'!$F9</f>
        <v>15182.673262073222</v>
      </c>
      <c r="N13" s="347"/>
      <c r="O13" s="223">
        <f>'04c_Resumen_MO'!$F10</f>
        <v>18955.861884005404</v>
      </c>
      <c r="P13" s="347"/>
      <c r="Q13" s="223">
        <f>'04c_Resumen_MO'!$F11</f>
        <v>12504.37321928452</v>
      </c>
      <c r="R13" s="347"/>
      <c r="S13" s="223">
        <f>'04c_Resumen_MO'!$F12</f>
        <v>16718.75728048266</v>
      </c>
      <c r="T13" s="347"/>
      <c r="U13" s="223">
        <f>'04c_Resumen_MO'!$F13</f>
        <v>9972.2833655322029</v>
      </c>
      <c r="V13" s="347"/>
    </row>
    <row r="14" spans="1:22">
      <c r="A14" s="229">
        <v>7</v>
      </c>
      <c r="B14" s="205" t="s">
        <v>514</v>
      </c>
      <c r="C14" s="212"/>
      <c r="D14" s="204"/>
      <c r="E14" s="1454">
        <f>SUM(E15,E16)</f>
        <v>0</v>
      </c>
      <c r="F14" s="213"/>
      <c r="G14" s="1439"/>
      <c r="H14" s="238"/>
      <c r="I14" s="1439"/>
      <c r="J14" s="238"/>
      <c r="K14" s="242"/>
      <c r="L14" s="348"/>
      <c r="M14" s="242"/>
      <c r="N14" s="348"/>
      <c r="O14" s="242"/>
      <c r="P14" s="348"/>
      <c r="Q14" s="242"/>
      <c r="R14" s="348"/>
      <c r="S14" s="242"/>
      <c r="T14" s="348"/>
      <c r="U14" s="223"/>
      <c r="V14" s="347"/>
    </row>
    <row r="15" spans="1:22">
      <c r="A15" s="229"/>
      <c r="B15" s="205" t="s">
        <v>515</v>
      </c>
      <c r="C15" s="212"/>
      <c r="D15" s="204"/>
      <c r="E15" s="1454">
        <f t="shared" ref="E15" si="0">SUM(G15:U15)</f>
        <v>0</v>
      </c>
      <c r="F15" s="213"/>
      <c r="G15" s="1439">
        <v>0</v>
      </c>
      <c r="H15" s="238"/>
      <c r="I15" s="1439">
        <v>0</v>
      </c>
      <c r="J15" s="238"/>
      <c r="K15" s="242">
        <v>0</v>
      </c>
      <c r="L15" s="348"/>
      <c r="M15" s="242">
        <v>0</v>
      </c>
      <c r="N15" s="348"/>
      <c r="O15" s="242">
        <v>0</v>
      </c>
      <c r="P15" s="348"/>
      <c r="Q15" s="242">
        <v>0</v>
      </c>
      <c r="R15" s="348"/>
      <c r="S15" s="242">
        <v>0</v>
      </c>
      <c r="T15" s="348"/>
      <c r="U15" s="242">
        <v>0</v>
      </c>
      <c r="V15" s="347"/>
    </row>
    <row r="16" spans="1:22">
      <c r="A16" s="229"/>
      <c r="B16" s="205" t="s">
        <v>521</v>
      </c>
      <c r="C16" s="205"/>
      <c r="D16" s="203"/>
      <c r="E16" s="1454">
        <f>SUM(E17)</f>
        <v>0</v>
      </c>
      <c r="F16" s="215"/>
      <c r="G16" s="1439"/>
      <c r="H16" s="238"/>
      <c r="I16" s="1439"/>
      <c r="J16" s="238"/>
      <c r="K16" s="242"/>
      <c r="L16" s="348"/>
      <c r="M16" s="242"/>
      <c r="N16" s="348"/>
      <c r="O16" s="242"/>
      <c r="P16" s="348"/>
      <c r="Q16" s="242"/>
      <c r="R16" s="348"/>
      <c r="S16" s="242"/>
      <c r="T16" s="348"/>
      <c r="U16" s="223"/>
      <c r="V16" s="347"/>
    </row>
    <row r="17" spans="1:22">
      <c r="A17" s="229"/>
      <c r="B17" s="212" t="s">
        <v>522</v>
      </c>
      <c r="C17" s="212"/>
      <c r="D17" s="204"/>
      <c r="E17" s="1455">
        <f>SUM(G17:S17)</f>
        <v>0</v>
      </c>
      <c r="F17" s="213"/>
      <c r="G17" s="1438">
        <v>0</v>
      </c>
      <c r="H17" s="224"/>
      <c r="I17" s="1438">
        <v>0</v>
      </c>
      <c r="J17" s="224"/>
      <c r="K17" s="223">
        <v>0</v>
      </c>
      <c r="L17" s="347"/>
      <c r="M17" s="223">
        <v>0</v>
      </c>
      <c r="N17" s="347"/>
      <c r="O17" s="223">
        <v>0</v>
      </c>
      <c r="P17" s="347"/>
      <c r="Q17" s="223">
        <v>0</v>
      </c>
      <c r="R17" s="347"/>
      <c r="S17" s="223">
        <v>0</v>
      </c>
      <c r="T17" s="347"/>
      <c r="U17" s="223">
        <v>0</v>
      </c>
      <c r="V17" s="347"/>
    </row>
    <row r="18" spans="1:22">
      <c r="A18" s="229">
        <v>8</v>
      </c>
      <c r="B18" s="205" t="s">
        <v>523</v>
      </c>
      <c r="C18" s="212"/>
      <c r="D18" s="204"/>
      <c r="E18" s="1454">
        <f>E10-E14</f>
        <v>164776.71347054999</v>
      </c>
      <c r="F18" s="213"/>
      <c r="G18" s="1439">
        <f>G10-G14</f>
        <v>17268.248534736002</v>
      </c>
      <c r="H18" s="238"/>
      <c r="I18" s="1439">
        <f>I10-I14</f>
        <v>15602.531511536001</v>
      </c>
      <c r="J18" s="238"/>
      <c r="K18" s="242">
        <f>K10-K14</f>
        <v>19436.47454042</v>
      </c>
      <c r="L18" s="348"/>
      <c r="M18" s="242">
        <f>M10-M14</f>
        <v>25621.213912839001</v>
      </c>
      <c r="N18" s="348"/>
      <c r="O18" s="242">
        <f>O10-O14</f>
        <v>27038.024665190002</v>
      </c>
      <c r="P18" s="348"/>
      <c r="Q18" s="242">
        <f>Q10-Q14</f>
        <v>21089.89942655</v>
      </c>
      <c r="R18" s="348"/>
      <c r="S18" s="242">
        <f>S10-S14</f>
        <v>23967.619699999999</v>
      </c>
      <c r="T18" s="348"/>
      <c r="U18" s="242">
        <f>U10-U14</f>
        <v>14752.6990159</v>
      </c>
      <c r="V18" s="347"/>
    </row>
    <row r="19" spans="1:22">
      <c r="A19" s="229">
        <v>10</v>
      </c>
      <c r="B19" s="205" t="s">
        <v>524</v>
      </c>
      <c r="C19" s="212"/>
      <c r="D19" s="204"/>
      <c r="E19" s="1454">
        <f>SUM(G19:S19)</f>
        <v>0</v>
      </c>
      <c r="F19" s="213"/>
      <c r="G19" s="1438">
        <v>0</v>
      </c>
      <c r="H19" s="224"/>
      <c r="I19" s="1438">
        <v>0</v>
      </c>
      <c r="J19" s="224"/>
      <c r="K19" s="223">
        <v>0</v>
      </c>
      <c r="L19" s="347"/>
      <c r="M19" s="223">
        <v>0</v>
      </c>
      <c r="N19" s="347"/>
      <c r="O19" s="223">
        <v>0</v>
      </c>
      <c r="P19" s="347"/>
      <c r="Q19" s="223">
        <v>0</v>
      </c>
      <c r="R19" s="347"/>
      <c r="S19" s="223">
        <v>0</v>
      </c>
      <c r="T19" s="347"/>
      <c r="U19" s="223">
        <v>0</v>
      </c>
      <c r="V19" s="347"/>
    </row>
    <row r="20" spans="1:22">
      <c r="A20" s="229">
        <v>11</v>
      </c>
      <c r="B20" s="205" t="s">
        <v>525</v>
      </c>
      <c r="C20" s="212"/>
      <c r="D20" s="204"/>
      <c r="E20" s="1454">
        <f>E18-E19</f>
        <v>164776.71347054999</v>
      </c>
      <c r="F20" s="213"/>
      <c r="G20" s="1439">
        <f>G18-G19</f>
        <v>17268.248534736002</v>
      </c>
      <c r="H20" s="238"/>
      <c r="I20" s="1439">
        <f t="shared" ref="I20:U20" si="1">I18-I19</f>
        <v>15602.531511536001</v>
      </c>
      <c r="J20" s="238"/>
      <c r="K20" s="242">
        <f t="shared" si="1"/>
        <v>19436.47454042</v>
      </c>
      <c r="L20" s="348"/>
      <c r="M20" s="242">
        <f t="shared" si="1"/>
        <v>25621.213912839001</v>
      </c>
      <c r="N20" s="348"/>
      <c r="O20" s="242">
        <f t="shared" si="1"/>
        <v>27038.024665190002</v>
      </c>
      <c r="P20" s="348"/>
      <c r="Q20" s="242">
        <f t="shared" si="1"/>
        <v>21089.89942655</v>
      </c>
      <c r="R20" s="348"/>
      <c r="S20" s="242">
        <f t="shared" si="1"/>
        <v>23967.619699999999</v>
      </c>
      <c r="T20" s="348"/>
      <c r="U20" s="242">
        <f t="shared" si="1"/>
        <v>14752.6990159</v>
      </c>
      <c r="V20" s="347"/>
    </row>
    <row r="21" spans="1:22">
      <c r="A21" s="229">
        <v>12</v>
      </c>
      <c r="B21" s="205" t="s">
        <v>526</v>
      </c>
      <c r="C21" s="212"/>
      <c r="D21" s="204"/>
      <c r="E21" s="1454">
        <f>SUM(E22:E24)</f>
        <v>107104.86234966115</v>
      </c>
      <c r="F21" s="213"/>
      <c r="G21" s="1439">
        <f t="shared" ref="G21:U21" si="2">SUM(G22:G24)</f>
        <v>12991.359347873164</v>
      </c>
      <c r="H21" s="238"/>
      <c r="I21" s="1439">
        <f t="shared" si="2"/>
        <v>8702.187611575433</v>
      </c>
      <c r="J21" s="238"/>
      <c r="K21" s="242">
        <f t="shared" si="2"/>
        <v>12077.36637883454</v>
      </c>
      <c r="L21" s="348"/>
      <c r="M21" s="242">
        <f t="shared" si="2"/>
        <v>15182.673262073222</v>
      </c>
      <c r="N21" s="348"/>
      <c r="O21" s="242">
        <f t="shared" si="2"/>
        <v>18955.861884005404</v>
      </c>
      <c r="P21" s="348"/>
      <c r="Q21" s="242">
        <f t="shared" si="2"/>
        <v>12504.37321928452</v>
      </c>
      <c r="R21" s="348"/>
      <c r="S21" s="242">
        <f t="shared" si="2"/>
        <v>16718.75728048266</v>
      </c>
      <c r="T21" s="348"/>
      <c r="U21" s="242">
        <f t="shared" si="2"/>
        <v>9972.2833655322029</v>
      </c>
      <c r="V21" s="347"/>
    </row>
    <row r="22" spans="1:22">
      <c r="A22" s="229"/>
      <c r="B22" s="212" t="s">
        <v>527</v>
      </c>
      <c r="C22" s="212"/>
      <c r="D22" s="204"/>
      <c r="E22" s="1455">
        <f>SUM(G22:U22)</f>
        <v>29501.324060209015</v>
      </c>
      <c r="F22" s="215"/>
      <c r="G22" s="1438">
        <f>'04c_Resumen_MO'!$C6</f>
        <v>4744.8667466265179</v>
      </c>
      <c r="H22" s="224"/>
      <c r="I22" s="1438">
        <f>'04c_Resumen_MO'!$C7</f>
        <v>1166.9775073831811</v>
      </c>
      <c r="J22" s="224"/>
      <c r="K22" s="223">
        <f>'04c_Resumen_MO'!$C8</f>
        <v>2936.0801443705127</v>
      </c>
      <c r="L22" s="347"/>
      <c r="M22" s="223">
        <f>'04c_Resumen_MO'!$C9</f>
        <v>6313.2384713358988</v>
      </c>
      <c r="N22" s="347"/>
      <c r="O22" s="223">
        <f>'04c_Resumen_MO'!$C10</f>
        <v>2870.317660930994</v>
      </c>
      <c r="P22" s="347"/>
      <c r="Q22" s="223">
        <f>'04c_Resumen_MO'!$C11</f>
        <v>5562.2636057221716</v>
      </c>
      <c r="R22" s="347"/>
      <c r="S22" s="223">
        <f>'04c_Resumen_MO'!$C12</f>
        <v>3251.2337344159237</v>
      </c>
      <c r="T22" s="347"/>
      <c r="U22" s="223">
        <f>'04c_Resumen_MO'!$C13</f>
        <v>2656.3461894238176</v>
      </c>
      <c r="V22" s="347"/>
    </row>
    <row r="23" spans="1:22">
      <c r="A23" s="229"/>
      <c r="B23" s="212" t="s">
        <v>528</v>
      </c>
      <c r="C23" s="212"/>
      <c r="D23" s="204"/>
      <c r="E23" s="1455">
        <f>SUM(G23:U23)</f>
        <v>72340.479065592706</v>
      </c>
      <c r="F23" s="215"/>
      <c r="G23" s="1438">
        <f>'04c_Resumen_MO'!D6</f>
        <v>8246.4926012466458</v>
      </c>
      <c r="H23" s="224"/>
      <c r="I23" s="1438">
        <f>'04c_Resumen_MO'!D7</f>
        <v>7535.2101041922524</v>
      </c>
      <c r="J23" s="224"/>
      <c r="K23" s="223">
        <f>'04c_Resumen_MO'!D8</f>
        <v>9141.2862344640271</v>
      </c>
      <c r="L23" s="347"/>
      <c r="M23" s="223">
        <f>'04c_Resumen_MO'!D9</f>
        <v>8869.4347907373231</v>
      </c>
      <c r="N23" s="347"/>
      <c r="O23" s="223">
        <f>'04c_Resumen_MO'!D10</f>
        <v>13279.248504517975</v>
      </c>
      <c r="P23" s="347"/>
      <c r="Q23" s="223">
        <f>'04c_Resumen_MO'!D11</f>
        <v>6942.1096135623484</v>
      </c>
      <c r="R23" s="347"/>
      <c r="S23" s="223">
        <f>'04c_Resumen_MO'!D12</f>
        <v>11010.760040763742</v>
      </c>
      <c r="T23" s="347"/>
      <c r="U23" s="223">
        <f>'04c_Resumen_MO'!D13</f>
        <v>7315.9371761083858</v>
      </c>
      <c r="V23" s="347"/>
    </row>
    <row r="24" spans="1:22">
      <c r="A24" s="229"/>
      <c r="B24" s="212" t="s">
        <v>529</v>
      </c>
      <c r="C24" s="212"/>
      <c r="D24" s="204"/>
      <c r="E24" s="1455">
        <f>SUM(G24:U24)</f>
        <v>5263.0592238594272</v>
      </c>
      <c r="F24" s="215"/>
      <c r="G24" s="1439">
        <f>'04c_Resumen_MO'!$E6</f>
        <v>0</v>
      </c>
      <c r="H24" s="238"/>
      <c r="I24" s="1439">
        <f>'04c_Resumen_MO'!$E7</f>
        <v>0</v>
      </c>
      <c r="J24" s="238"/>
      <c r="K24" s="242">
        <f>'04c_Resumen_MO'!$E8</f>
        <v>0</v>
      </c>
      <c r="L24" s="348"/>
      <c r="M24" s="242">
        <f>'04c_Resumen_MO'!$E9</f>
        <v>0</v>
      </c>
      <c r="N24" s="348"/>
      <c r="O24" s="242">
        <f>'04c_Resumen_MO'!$E10</f>
        <v>2806.2957185564351</v>
      </c>
      <c r="P24" s="348"/>
      <c r="Q24" s="242">
        <f>'04c_Resumen_MO'!$E11</f>
        <v>0</v>
      </c>
      <c r="R24" s="348"/>
      <c r="S24" s="242">
        <f>'04c_Resumen_MO'!$E12</f>
        <v>2456.7635053029921</v>
      </c>
      <c r="T24" s="348"/>
      <c r="U24" s="242">
        <f>'04c_Resumen_MO'!$E13</f>
        <v>0</v>
      </c>
      <c r="V24" s="347"/>
    </row>
    <row r="25" spans="1:22">
      <c r="A25" s="229"/>
      <c r="B25" s="212" t="s">
        <v>925</v>
      </c>
      <c r="C25" s="216">
        <v>0.03</v>
      </c>
      <c r="D25" s="204"/>
      <c r="E25" s="1455">
        <f>E18*C25</f>
        <v>4943.3014041164997</v>
      </c>
      <c r="F25" s="215"/>
      <c r="G25" s="1439"/>
      <c r="H25" s="238"/>
      <c r="I25" s="1439"/>
      <c r="J25" s="238"/>
      <c r="K25" s="242"/>
      <c r="L25" s="348"/>
      <c r="M25" s="242"/>
      <c r="N25" s="348"/>
      <c r="O25" s="242"/>
      <c r="P25" s="348"/>
      <c r="Q25" s="242"/>
      <c r="R25" s="348"/>
      <c r="S25" s="242"/>
      <c r="T25" s="348"/>
      <c r="U25" s="242"/>
      <c r="V25" s="347"/>
    </row>
    <row r="26" spans="1:22">
      <c r="A26" s="229">
        <v>13</v>
      </c>
      <c r="B26" s="205" t="s">
        <v>530</v>
      </c>
      <c r="C26" s="212"/>
      <c r="D26" s="204"/>
      <c r="E26" s="1454">
        <f>SUM(G26:U26)</f>
        <v>57671.848957509857</v>
      </c>
      <c r="F26" s="213"/>
      <c r="G26" s="1439">
        <f>G18-G21</f>
        <v>4276.889186862838</v>
      </c>
      <c r="H26" s="238"/>
      <c r="I26" s="1439">
        <f t="shared" ref="I26:U26" si="3">I18-I21</f>
        <v>6900.3438999605678</v>
      </c>
      <c r="J26" s="238"/>
      <c r="K26" s="242">
        <f t="shared" si="3"/>
        <v>7359.10816158546</v>
      </c>
      <c r="L26" s="348"/>
      <c r="M26" s="242">
        <f t="shared" si="3"/>
        <v>10438.540650765779</v>
      </c>
      <c r="N26" s="348"/>
      <c r="O26" s="242">
        <f t="shared" si="3"/>
        <v>8082.1627811845974</v>
      </c>
      <c r="P26" s="348"/>
      <c r="Q26" s="242">
        <f t="shared" si="3"/>
        <v>8585.5262072654805</v>
      </c>
      <c r="R26" s="348"/>
      <c r="S26" s="242">
        <f t="shared" si="3"/>
        <v>7248.8624195173397</v>
      </c>
      <c r="T26" s="348"/>
      <c r="U26" s="242">
        <f t="shared" si="3"/>
        <v>4780.4156503677968</v>
      </c>
      <c r="V26" s="347"/>
    </row>
    <row r="27" spans="1:22">
      <c r="A27" s="229"/>
      <c r="B27" s="205"/>
      <c r="C27" s="212"/>
      <c r="D27" s="204"/>
      <c r="E27" s="1454"/>
      <c r="F27" s="213"/>
      <c r="G27" s="1439"/>
      <c r="H27" s="238"/>
      <c r="I27" s="1439"/>
      <c r="J27" s="238"/>
      <c r="K27" s="242"/>
      <c r="L27" s="348"/>
      <c r="M27" s="242"/>
      <c r="N27" s="348"/>
      <c r="O27" s="242"/>
      <c r="P27" s="348"/>
      <c r="Q27" s="242"/>
      <c r="R27" s="348"/>
      <c r="S27" s="242"/>
      <c r="T27" s="348"/>
      <c r="U27" s="242"/>
      <c r="V27" s="347"/>
    </row>
    <row r="28" spans="1:22">
      <c r="A28" s="229">
        <v>14</v>
      </c>
      <c r="B28" s="205" t="s">
        <v>531</v>
      </c>
      <c r="C28" s="212"/>
      <c r="D28" s="204"/>
      <c r="E28" s="1454">
        <f>SUM(G28:U28)</f>
        <v>13723.80470659296</v>
      </c>
      <c r="F28" s="213"/>
      <c r="G28" s="1438">
        <f>'04c_Resumen_MO'!$H6</f>
        <v>1355.7527193899618</v>
      </c>
      <c r="H28" s="224"/>
      <c r="I28" s="1438">
        <f>'04c_Resumen_MO'!$H7</f>
        <v>1807.5715171192551</v>
      </c>
      <c r="J28" s="224"/>
      <c r="K28" s="223">
        <f>'04c_Resumen_MO'!$H8</f>
        <v>1927.30540823921</v>
      </c>
      <c r="L28" s="347"/>
      <c r="M28" s="223">
        <f>'04c_Resumen_MO'!$H9</f>
        <v>2305.0707388953133</v>
      </c>
      <c r="N28" s="347"/>
      <c r="O28" s="223">
        <f>'04c_Resumen_MO'!$H10</f>
        <v>2084.0473711146669</v>
      </c>
      <c r="P28" s="347"/>
      <c r="Q28" s="223">
        <f>'04c_Resumen_MO'!$H11</f>
        <v>1905.1278876901943</v>
      </c>
      <c r="R28" s="347"/>
      <c r="S28" s="223">
        <f>'04c_Resumen_MO'!$H12</f>
        <v>983.66140280594755</v>
      </c>
      <c r="T28" s="347"/>
      <c r="U28" s="223">
        <f>'04c_Resumen_MO'!$H13</f>
        <v>1355.267661338411</v>
      </c>
      <c r="V28" s="347"/>
    </row>
    <row r="29" spans="1:22" ht="10.9" thickBot="1">
      <c r="A29" s="230">
        <v>15</v>
      </c>
      <c r="B29" s="239" t="s">
        <v>532</v>
      </c>
      <c r="C29" s="231"/>
      <c r="D29" s="240"/>
      <c r="E29" s="1456">
        <f>SUM(G29:U29)</f>
        <v>43948.044250916901</v>
      </c>
      <c r="F29" s="213"/>
      <c r="G29" s="1440">
        <f>G26-G28</f>
        <v>2921.1364674728761</v>
      </c>
      <c r="H29" s="244"/>
      <c r="I29" s="1440">
        <f t="shared" ref="I29:U29" si="4">I26-I28</f>
        <v>5092.7723828413127</v>
      </c>
      <c r="J29" s="244"/>
      <c r="K29" s="243">
        <f t="shared" si="4"/>
        <v>5431.80275334625</v>
      </c>
      <c r="L29" s="349"/>
      <c r="M29" s="243">
        <f t="shared" si="4"/>
        <v>8133.4699118704657</v>
      </c>
      <c r="N29" s="349"/>
      <c r="O29" s="243">
        <f t="shared" si="4"/>
        <v>5998.1154100699305</v>
      </c>
      <c r="P29" s="349"/>
      <c r="Q29" s="243">
        <f t="shared" si="4"/>
        <v>6680.3983195752862</v>
      </c>
      <c r="R29" s="349"/>
      <c r="S29" s="243">
        <f t="shared" si="4"/>
        <v>6265.2010167113922</v>
      </c>
      <c r="T29" s="349"/>
      <c r="U29" s="243">
        <f t="shared" si="4"/>
        <v>3425.1479890293858</v>
      </c>
      <c r="V29" s="349"/>
    </row>
    <row r="30" spans="1:22">
      <c r="A30" s="247"/>
      <c r="B30" s="248"/>
      <c r="C30" s="233"/>
      <c r="D30" s="234"/>
      <c r="E30" s="1457"/>
      <c r="F30" s="249"/>
      <c r="G30" s="1441"/>
      <c r="H30" s="251"/>
      <c r="I30" s="1441"/>
      <c r="J30" s="251"/>
      <c r="K30" s="250"/>
      <c r="L30" s="350"/>
      <c r="M30" s="250"/>
      <c r="N30" s="350"/>
      <c r="O30" s="250"/>
      <c r="P30" s="350"/>
      <c r="Q30" s="250"/>
      <c r="R30" s="350"/>
      <c r="S30" s="250"/>
      <c r="T30" s="350"/>
      <c r="U30" s="250"/>
      <c r="V30" s="350"/>
    </row>
    <row r="31" spans="1:22">
      <c r="A31" s="247"/>
      <c r="B31" s="248"/>
      <c r="C31" s="233"/>
      <c r="D31" s="234"/>
      <c r="E31" s="1457">
        <f>E37/E10</f>
        <v>7.1969379017952892</v>
      </c>
      <c r="F31" s="249"/>
      <c r="G31" s="1441"/>
      <c r="H31" s="251"/>
      <c r="I31" s="1441"/>
      <c r="J31" s="251"/>
      <c r="K31" s="250"/>
      <c r="L31" s="350"/>
      <c r="M31" s="250"/>
      <c r="N31" s="350"/>
      <c r="O31" s="250"/>
      <c r="P31" s="350"/>
      <c r="Q31" s="250"/>
      <c r="R31" s="350"/>
      <c r="S31" s="250"/>
      <c r="T31" s="350"/>
      <c r="U31" s="250"/>
      <c r="V31" s="350"/>
    </row>
    <row r="32" spans="1:22" ht="10.9" thickBot="1">
      <c r="A32" s="232"/>
      <c r="B32" s="233"/>
      <c r="C32" s="233"/>
      <c r="D32" s="234"/>
      <c r="E32" s="1458"/>
      <c r="G32" s="1442"/>
      <c r="H32" s="235"/>
      <c r="I32" s="1442"/>
      <c r="J32" s="235"/>
      <c r="K32" s="235"/>
      <c r="L32" s="351"/>
      <c r="M32" s="235"/>
      <c r="N32" s="351"/>
      <c r="O32" s="235"/>
      <c r="P32" s="351"/>
      <c r="Q32" s="235"/>
      <c r="R32" s="351"/>
      <c r="S32" s="235"/>
      <c r="T32" s="351"/>
      <c r="U32" s="235"/>
      <c r="V32" s="351"/>
    </row>
    <row r="33" spans="1:23" ht="15" customHeight="1">
      <c r="A33" s="1475" t="s">
        <v>926</v>
      </c>
      <c r="B33" s="1476"/>
      <c r="C33" s="1487" t="s">
        <v>220</v>
      </c>
      <c r="D33" s="1487"/>
      <c r="E33" s="1485" t="s">
        <v>927</v>
      </c>
      <c r="G33" s="1481" t="s">
        <v>607</v>
      </c>
      <c r="H33" s="1482"/>
      <c r="I33" s="1483" t="s">
        <v>610</v>
      </c>
      <c r="J33" s="1484"/>
      <c r="K33" s="1481" t="s">
        <v>613</v>
      </c>
      <c r="L33" s="1482"/>
      <c r="M33" s="1483" t="s">
        <v>614</v>
      </c>
      <c r="N33" s="1484"/>
      <c r="O33" s="1481" t="s">
        <v>616</v>
      </c>
      <c r="P33" s="1482"/>
      <c r="Q33" s="1483" t="s">
        <v>617</v>
      </c>
      <c r="R33" s="1484"/>
      <c r="S33" s="1481" t="s">
        <v>619</v>
      </c>
      <c r="T33" s="1482"/>
      <c r="U33" s="1483" t="s">
        <v>620</v>
      </c>
      <c r="V33" s="1484"/>
    </row>
    <row r="34" spans="1:23">
      <c r="A34" s="1477"/>
      <c r="B34" s="1478"/>
      <c r="C34" s="1488"/>
      <c r="D34" s="1488"/>
      <c r="E34" s="1486"/>
      <c r="G34" s="328" t="s">
        <v>924</v>
      </c>
      <c r="H34" s="329" t="s">
        <v>220</v>
      </c>
      <c r="I34" s="342" t="s">
        <v>924</v>
      </c>
      <c r="J34" s="343" t="s">
        <v>220</v>
      </c>
      <c r="K34" s="328" t="s">
        <v>924</v>
      </c>
      <c r="L34" s="352" t="s">
        <v>220</v>
      </c>
      <c r="M34" s="342" t="s">
        <v>924</v>
      </c>
      <c r="N34" s="360" t="s">
        <v>220</v>
      </c>
      <c r="O34" s="328" t="s">
        <v>924</v>
      </c>
      <c r="P34" s="352" t="s">
        <v>220</v>
      </c>
      <c r="Q34" s="342" t="s">
        <v>924</v>
      </c>
      <c r="R34" s="360" t="s">
        <v>220</v>
      </c>
      <c r="S34" s="328" t="s">
        <v>924</v>
      </c>
      <c r="T34" s="352" t="s">
        <v>220</v>
      </c>
      <c r="U34" s="342" t="s">
        <v>924</v>
      </c>
      <c r="V34" s="360" t="s">
        <v>220</v>
      </c>
    </row>
    <row r="35" spans="1:23" s="222" customFormat="1">
      <c r="A35" s="384">
        <v>1</v>
      </c>
      <c r="B35" s="205" t="s">
        <v>928</v>
      </c>
      <c r="C35" s="1479"/>
      <c r="D35" s="1480"/>
      <c r="E35" s="1459">
        <f t="shared" ref="E35:E36" si="5">SUM(G35:U35)</f>
        <v>1465249.9800832341</v>
      </c>
      <c r="F35" s="221"/>
      <c r="G35" s="1443">
        <f>'08_ATC_por_USOS'!$C7</f>
        <v>106329.81169669119</v>
      </c>
      <c r="H35" s="331"/>
      <c r="I35" s="1443">
        <f>'08_ATC_por_USOS'!$C8</f>
        <v>181558.4005853156</v>
      </c>
      <c r="J35" s="331"/>
      <c r="K35" s="330">
        <f>'08_ATC_por_USOS'!$C9</f>
        <v>191032.84584160295</v>
      </c>
      <c r="L35" s="353"/>
      <c r="M35" s="330">
        <f>'08_ATC_por_USOS'!$C10</f>
        <v>274010.04051007587</v>
      </c>
      <c r="N35" s="353"/>
      <c r="O35" s="330">
        <f>'08_ATC_por_USOS'!$C11</f>
        <v>213243.93603916175</v>
      </c>
      <c r="P35" s="353"/>
      <c r="Q35" s="330">
        <f>'08_ATC_por_USOS'!$C12</f>
        <v>225771.89281067142</v>
      </c>
      <c r="R35" s="353"/>
      <c r="S35" s="330">
        <f>'08_ATC_por_USOS'!$C13</f>
        <v>151682.70221379091</v>
      </c>
      <c r="T35" s="353"/>
      <c r="U35" s="330">
        <f>'08_ATC_por_USOS'!$C14</f>
        <v>121620.35038592429</v>
      </c>
      <c r="V35" s="353"/>
    </row>
    <row r="36" spans="1:23" s="222" customFormat="1">
      <c r="A36" s="384">
        <v>2</v>
      </c>
      <c r="B36" s="205" t="s">
        <v>929</v>
      </c>
      <c r="C36" s="1479"/>
      <c r="D36" s="1480"/>
      <c r="E36" s="1459">
        <f t="shared" si="5"/>
        <v>279362.20557377045</v>
      </c>
      <c r="F36" s="221"/>
      <c r="G36" s="1444">
        <f>'08_ATC_por_USOS'!$E7</f>
        <v>27566.988217660677</v>
      </c>
      <c r="H36" s="331"/>
      <c r="I36" s="1444">
        <f>'08_ATC_por_USOS'!$E8</f>
        <v>32155.304753667955</v>
      </c>
      <c r="J36" s="331"/>
      <c r="K36" s="330">
        <f>'08_ATC_por_USOS'!$E9</f>
        <v>33870.070880317995</v>
      </c>
      <c r="L36" s="353"/>
      <c r="M36" s="330">
        <f>'08_ATC_por_USOS'!$E10</f>
        <v>49079.765308174552</v>
      </c>
      <c r="N36" s="353"/>
      <c r="O36" s="330">
        <f>'08_ATC_por_USOS'!$E11</f>
        <v>37752.253660450035</v>
      </c>
      <c r="P36" s="353"/>
      <c r="Q36" s="330">
        <f>'08_ATC_por_USOS'!$E12</f>
        <v>40074.776737422071</v>
      </c>
      <c r="R36" s="353"/>
      <c r="S36" s="330">
        <f>'08_ATC_por_USOS'!$E13</f>
        <v>27331.84406417084</v>
      </c>
      <c r="T36" s="353"/>
      <c r="U36" s="330">
        <f>'08_ATC_por_USOS'!$E14</f>
        <v>31531.201951906296</v>
      </c>
      <c r="V36" s="353"/>
    </row>
    <row r="37" spans="1:23">
      <c r="A37" s="385">
        <v>3</v>
      </c>
      <c r="B37" s="205" t="str">
        <f>'14_SIM_UF_INICIAL'!E2</f>
        <v>AREA VENDIBLE (I.C.E.)</v>
      </c>
      <c r="C37" s="1489"/>
      <c r="D37" s="1490"/>
      <c r="E37" s="1459">
        <f>SUM(G37:U37)</f>
        <v>1185887.7745094637</v>
      </c>
      <c r="G37" s="1445">
        <f>SUM(G38:G45)</f>
        <v>78762.823479030529</v>
      </c>
      <c r="H37" s="333"/>
      <c r="I37" s="1445">
        <f>SUM(I38:I45)</f>
        <v>149403.09583164763</v>
      </c>
      <c r="J37" s="333"/>
      <c r="K37" s="332">
        <f>SUM(K38:K45)</f>
        <v>157162.77496128494</v>
      </c>
      <c r="L37" s="354"/>
      <c r="M37" s="332">
        <f>SUM(M38:M45)</f>
        <v>224930.2752019013</v>
      </c>
      <c r="N37" s="354"/>
      <c r="O37" s="332">
        <f>SUM(O38:O45)</f>
        <v>175491.68237871173</v>
      </c>
      <c r="P37" s="354"/>
      <c r="Q37" s="332">
        <f>SUM(Q38:Q45)</f>
        <v>185697.11607324937</v>
      </c>
      <c r="R37" s="354"/>
      <c r="S37" s="332">
        <f>SUM(S38:S45)</f>
        <v>124350.85814962009</v>
      </c>
      <c r="T37" s="354"/>
      <c r="U37" s="332">
        <f>SUM(U38:U45)</f>
        <v>90089.148434017989</v>
      </c>
      <c r="V37" s="355"/>
    </row>
    <row r="38" spans="1:23">
      <c r="A38" s="386"/>
      <c r="B38" s="245" t="str">
        <f>'14_SIM_UF_INICIAL'!F$5</f>
        <v xml:space="preserve">a_CS - Creativos </v>
      </c>
      <c r="C38" s="1493"/>
      <c r="D38" s="1494"/>
      <c r="E38" s="1460">
        <f t="shared" ref="E38:E44" si="6">SUM(G38:U38)</f>
        <v>29356.213403211012</v>
      </c>
      <c r="G38" s="1446">
        <f>'16_SIM_UF_FINAL'!$G$9</f>
        <v>0</v>
      </c>
      <c r="H38" s="335"/>
      <c r="I38" s="1446">
        <f>'16_SIM_UF_FINAL'!$G$10</f>
        <v>3257.5685120599983</v>
      </c>
      <c r="J38" s="335"/>
      <c r="K38" s="334">
        <f>'16_SIM_UF_FINAL'!$G$11</f>
        <v>2972.6975798711569</v>
      </c>
      <c r="L38" s="355"/>
      <c r="M38" s="334">
        <f>'16_SIM_UF_FINAL'!$G$12</f>
        <v>4336.8338839709186</v>
      </c>
      <c r="N38" s="355"/>
      <c r="O38" s="334">
        <f>'16_SIM_UF_FINAL'!$G$13</f>
        <v>4134.3724785720451</v>
      </c>
      <c r="P38" s="355"/>
      <c r="Q38" s="334">
        <f>'16_SIM_UF_FINAL'!$G$14</f>
        <v>4744.6146367918464</v>
      </c>
      <c r="R38" s="355"/>
      <c r="S38" s="334">
        <f>'16_SIM_UF_FINAL'!$G$15</f>
        <v>9910.126311945045</v>
      </c>
      <c r="T38" s="355"/>
      <c r="U38" s="334">
        <f>'16_SIM_UF_FINAL'!$G$16</f>
        <v>0</v>
      </c>
      <c r="V38" s="355"/>
      <c r="W38" s="325"/>
    </row>
    <row r="39" spans="1:23">
      <c r="A39" s="386"/>
      <c r="B39" s="245" t="str">
        <f>'14_SIM_UF_INICIAL'!G$5</f>
        <v>b_CS - General (Comercio + Oficinas + Hospedaje)</v>
      </c>
      <c r="C39" s="1493"/>
      <c r="D39" s="1494"/>
      <c r="E39" s="1460">
        <f t="shared" si="6"/>
        <v>95044.470611444325</v>
      </c>
      <c r="G39" s="1446">
        <f>'16_SIM_UF_FINAL'!$H$9</f>
        <v>9486.5399941323667</v>
      </c>
      <c r="H39" s="335"/>
      <c r="I39" s="1446">
        <f>'16_SIM_UF_FINAL'!$H$10</f>
        <v>12992.858240882862</v>
      </c>
      <c r="J39" s="335"/>
      <c r="K39" s="334">
        <f>'16_SIM_UF_FINAL'!$H$11</f>
        <v>14268.307533825875</v>
      </c>
      <c r="L39" s="355"/>
      <c r="M39" s="334">
        <f>'16_SIM_UF_FINAL'!$H$12</f>
        <v>17149.886182631148</v>
      </c>
      <c r="N39" s="355"/>
      <c r="O39" s="334">
        <f>'16_SIM_UF_FINAL'!$H$13</f>
        <v>14936.532912336539</v>
      </c>
      <c r="P39" s="355"/>
      <c r="Q39" s="334">
        <f>'16_SIM_UF_FINAL'!$H$14</f>
        <v>16405.947060620092</v>
      </c>
      <c r="R39" s="355"/>
      <c r="S39" s="334">
        <f>'16_SIM_UF_FINAL'!$H$15</f>
        <v>9804.398687015444</v>
      </c>
      <c r="T39" s="355"/>
      <c r="U39" s="334">
        <f>'16_SIM_UF_FINAL'!$H$16</f>
        <v>0</v>
      </c>
      <c r="V39" s="355"/>
      <c r="W39" s="325"/>
    </row>
    <row r="40" spans="1:23">
      <c r="A40" s="386"/>
      <c r="B40" s="245" t="str">
        <f>'14_SIM_UF_INICIAL'!H$5</f>
        <v>c_CS - Grandes Superficies</v>
      </c>
      <c r="C40" s="1493"/>
      <c r="D40" s="1494"/>
      <c r="E40" s="1460">
        <f t="shared" si="6"/>
        <v>3625.1465066750798</v>
      </c>
      <c r="G40" s="1446">
        <f>'16_SIM_UF_FINAL'!$I$9</f>
        <v>0</v>
      </c>
      <c r="H40" s="335"/>
      <c r="I40" s="1446">
        <f>'16_SIM_UF_FINAL'!$I$10</f>
        <v>0</v>
      </c>
      <c r="J40" s="335"/>
      <c r="K40" s="334">
        <f>'16_SIM_UF_FINAL'!$I$11</f>
        <v>0</v>
      </c>
      <c r="L40" s="355"/>
      <c r="M40" s="334">
        <f>'16_SIM_UF_FINAL'!$I$12</f>
        <v>3625.1465066750798</v>
      </c>
      <c r="N40" s="355"/>
      <c r="O40" s="334">
        <f>'16_SIM_UF_FINAL'!$I$13</f>
        <v>0</v>
      </c>
      <c r="P40" s="355"/>
      <c r="Q40" s="334">
        <f>'16_SIM_UF_FINAL'!$I$14</f>
        <v>0</v>
      </c>
      <c r="R40" s="355"/>
      <c r="S40" s="334">
        <f>'16_SIM_UF_FINAL'!$I$15</f>
        <v>0</v>
      </c>
      <c r="T40" s="355"/>
      <c r="U40" s="334">
        <f>'16_SIM_UF_FINAL'!$I$16</f>
        <v>0</v>
      </c>
      <c r="V40" s="355"/>
      <c r="W40" s="325"/>
    </row>
    <row r="41" spans="1:23">
      <c r="A41" s="386"/>
      <c r="B41" s="245" t="str">
        <f>'14_SIM_UF_INICIAL'!I$5</f>
        <v>d_CS - Torre Empresarial (Oficinas + Hospedaje)</v>
      </c>
      <c r="C41" s="1493"/>
      <c r="D41" s="1494"/>
      <c r="E41" s="1460">
        <f t="shared" si="6"/>
        <v>69276.283484898158</v>
      </c>
      <c r="G41" s="1446">
        <f>'16_SIM_UF_FINAL'!$J$9</f>
        <v>69276.283484898158</v>
      </c>
      <c r="H41" s="335"/>
      <c r="I41" s="1446">
        <f>'16_SIM_UF_FINAL'!$J$10</f>
        <v>0</v>
      </c>
      <c r="J41" s="335"/>
      <c r="K41" s="334">
        <f>'16_SIM_UF_FINAL'!$J$11</f>
        <v>0</v>
      </c>
      <c r="L41" s="355"/>
      <c r="M41" s="334">
        <f>'16_SIM_UF_FINAL'!$J$12</f>
        <v>0</v>
      </c>
      <c r="N41" s="355"/>
      <c r="O41" s="334">
        <f>'16_SIM_UF_FINAL'!$J$13</f>
        <v>0</v>
      </c>
      <c r="P41" s="355"/>
      <c r="Q41" s="334">
        <f>'16_SIM_UF_FINAL'!$J$14</f>
        <v>0</v>
      </c>
      <c r="R41" s="355"/>
      <c r="S41" s="334">
        <f>'16_SIM_UF_FINAL'!$J$15</f>
        <v>0</v>
      </c>
      <c r="T41" s="355"/>
      <c r="U41" s="334">
        <f>'16_SIM_UF_FINAL'!$J$16</f>
        <v>0</v>
      </c>
      <c r="V41" s="355"/>
      <c r="W41" s="325"/>
    </row>
    <row r="42" spans="1:23">
      <c r="A42" s="386"/>
      <c r="B42" s="245" t="str">
        <f>'14_SIM_UF_INICIAL'!J$5</f>
        <v>e_CS - Innovation (H, CS, Gamers)</v>
      </c>
      <c r="C42" s="1493"/>
      <c r="D42" s="1494"/>
      <c r="E42" s="1460">
        <f t="shared" si="6"/>
        <v>90089.148434017989</v>
      </c>
      <c r="G42" s="1446">
        <f>'16_SIM_UF_FINAL'!$K$9</f>
        <v>0</v>
      </c>
      <c r="H42" s="335"/>
      <c r="I42" s="1446">
        <f>'16_SIM_UF_FINAL'!$K$10</f>
        <v>0</v>
      </c>
      <c r="J42" s="335"/>
      <c r="K42" s="334">
        <f>'16_SIM_UF_FINAL'!$K$11</f>
        <v>0</v>
      </c>
      <c r="L42" s="355"/>
      <c r="M42" s="334">
        <f>'16_SIM_UF_FINAL'!$K$12</f>
        <v>0</v>
      </c>
      <c r="N42" s="355"/>
      <c r="O42" s="334">
        <f>'16_SIM_UF_FINAL'!$K$13</f>
        <v>0</v>
      </c>
      <c r="P42" s="355"/>
      <c r="Q42" s="334">
        <f>'16_SIM_UF_FINAL'!$K$14</f>
        <v>0</v>
      </c>
      <c r="R42" s="355"/>
      <c r="S42" s="334">
        <f>'16_SIM_UF_FINAL'!$K$15</f>
        <v>0</v>
      </c>
      <c r="T42" s="355"/>
      <c r="U42" s="334">
        <f>'16_SIM_UF_FINAL'!$K$16</f>
        <v>90089.148434017989</v>
      </c>
      <c r="V42" s="355"/>
      <c r="W42" s="325"/>
    </row>
    <row r="43" spans="1:23">
      <c r="A43" s="386"/>
      <c r="B43" s="245" t="str">
        <f>'14_SIM_UF_INICIAL'!L$5</f>
        <v>h_VIS_RU</v>
      </c>
      <c r="C43" s="1493"/>
      <c r="D43" s="1494"/>
      <c r="E43" s="1460">
        <f t="shared" si="6"/>
        <v>85596.219255526463</v>
      </c>
      <c r="F43" s="253"/>
      <c r="G43" s="1446">
        <f>'16_SIM_UF_FINAL'!$L$9</f>
        <v>0</v>
      </c>
      <c r="H43" s="335"/>
      <c r="I43" s="1446">
        <f>'16_SIM_UF_FINAL'!$L$10</f>
        <v>12559.874312714555</v>
      </c>
      <c r="J43" s="335"/>
      <c r="K43" s="334">
        <f>'16_SIM_UF_FINAL'!$L$11</f>
        <v>13214.003916190679</v>
      </c>
      <c r="L43" s="355"/>
      <c r="M43" s="334">
        <f>'16_SIM_UF_FINAL'!$L$12</f>
        <v>18917.142977672353</v>
      </c>
      <c r="N43" s="355"/>
      <c r="O43" s="334">
        <f>'16_SIM_UF_FINAL'!$L$13</f>
        <v>14752.854042509896</v>
      </c>
      <c r="P43" s="355"/>
      <c r="Q43" s="334">
        <f>'16_SIM_UF_FINAL'!$L$14</f>
        <v>15622.679049294135</v>
      </c>
      <c r="R43" s="355"/>
      <c r="S43" s="334">
        <f>'16_SIM_UF_FINAL'!$L$15</f>
        <v>10529.664957144851</v>
      </c>
      <c r="T43" s="355"/>
      <c r="U43" s="334">
        <f>'16_SIM_UF_FINAL'!$L$16</f>
        <v>0</v>
      </c>
      <c r="V43" s="355"/>
      <c r="W43" s="325"/>
    </row>
    <row r="44" spans="1:23">
      <c r="A44" s="386"/>
      <c r="B44" s="245" t="str">
        <f>'14_SIM_UF_INICIAL'!M$5</f>
        <v>i_VIP RU</v>
      </c>
      <c r="C44" s="1493"/>
      <c r="D44" s="1494"/>
      <c r="E44" s="1460">
        <f t="shared" si="6"/>
        <v>64197.164441644862</v>
      </c>
      <c r="F44" s="252"/>
      <c r="G44" s="1446">
        <f>'16_SIM_UF_FINAL'!$M$9</f>
        <v>0</v>
      </c>
      <c r="H44" s="335"/>
      <c r="I44" s="1446">
        <f>'16_SIM_UF_FINAL'!$M$10</f>
        <v>9419.9057345359179</v>
      </c>
      <c r="J44" s="335"/>
      <c r="K44" s="334">
        <f>'16_SIM_UF_FINAL'!$M$11</f>
        <v>9910.5029371430101</v>
      </c>
      <c r="L44" s="355"/>
      <c r="M44" s="334">
        <f>'16_SIM_UF_FINAL'!$M$12</f>
        <v>14187.857233254264</v>
      </c>
      <c r="N44" s="355"/>
      <c r="O44" s="334">
        <f>'16_SIM_UF_FINAL'!$M$13</f>
        <v>11064.640531882424</v>
      </c>
      <c r="P44" s="355"/>
      <c r="Q44" s="334">
        <f>'16_SIM_UF_FINAL'!$M$14</f>
        <v>11717.009286970602</v>
      </c>
      <c r="R44" s="355"/>
      <c r="S44" s="334">
        <f>'16_SIM_UF_FINAL'!$M$15</f>
        <v>7897.2487178586389</v>
      </c>
      <c r="T44" s="355"/>
      <c r="U44" s="334">
        <f>'16_SIM_UF_FINAL'!$M$16</f>
        <v>0</v>
      </c>
      <c r="V44" s="355"/>
      <c r="W44" s="325"/>
    </row>
    <row r="45" spans="1:23">
      <c r="A45" s="386"/>
      <c r="B45" s="245" t="str">
        <f>'14_SIM_UF_INICIAL'!K$5</f>
        <v>i_RES - No VIS</v>
      </c>
      <c r="C45" s="1493"/>
      <c r="D45" s="1494"/>
      <c r="E45" s="1460">
        <f>SUM(G45:U45)</f>
        <v>748703.12837204558</v>
      </c>
      <c r="G45" s="1446">
        <f>'16_SIM_UF_FINAL'!$N$9</f>
        <v>0</v>
      </c>
      <c r="H45" s="335"/>
      <c r="I45" s="1446">
        <f>'16_SIM_UF_FINAL'!$N$10</f>
        <v>111172.8890314543</v>
      </c>
      <c r="J45" s="335"/>
      <c r="K45" s="334">
        <f>'16_SIM_UF_FINAL'!$N$11</f>
        <v>116797.26299425424</v>
      </c>
      <c r="L45" s="355"/>
      <c r="M45" s="334">
        <f>'16_SIM_UF_FINAL'!$N$12</f>
        <v>166713.40841769753</v>
      </c>
      <c r="N45" s="355"/>
      <c r="O45" s="334">
        <f>'16_SIM_UF_FINAL'!$N$13</f>
        <v>130603.28241341082</v>
      </c>
      <c r="P45" s="355"/>
      <c r="Q45" s="334">
        <f>'16_SIM_UF_FINAL'!$N$14</f>
        <v>137206.86603957269</v>
      </c>
      <c r="R45" s="355"/>
      <c r="S45" s="334">
        <f>'16_SIM_UF_FINAL'!$N$15</f>
        <v>86209.419475656105</v>
      </c>
      <c r="T45" s="355"/>
      <c r="U45" s="334">
        <f>'16_SIM_UF_FINAL'!$N$16</f>
        <v>0</v>
      </c>
      <c r="V45" s="355"/>
      <c r="W45" s="325"/>
    </row>
    <row r="46" spans="1:23">
      <c r="A46" s="385">
        <v>5</v>
      </c>
      <c r="B46" s="205" t="s">
        <v>930</v>
      </c>
      <c r="C46" s="1493"/>
      <c r="D46" s="1494"/>
      <c r="E46" s="1459">
        <f>SUM(G46:U46)</f>
        <v>3185</v>
      </c>
      <c r="G46" s="1445">
        <f>'11_Estacionamientos'!$S9</f>
        <v>158</v>
      </c>
      <c r="H46" s="333"/>
      <c r="I46" s="1445">
        <f>'11_Estacionamientos'!$S10</f>
        <v>418</v>
      </c>
      <c r="J46" s="333"/>
      <c r="K46" s="332">
        <f>'11_Estacionamientos'!$S11</f>
        <v>440</v>
      </c>
      <c r="L46" s="354"/>
      <c r="M46" s="332">
        <f>'11_Estacionamientos'!$S12</f>
        <v>630</v>
      </c>
      <c r="N46" s="354"/>
      <c r="O46" s="332">
        <f>'11_Estacionamientos'!$S13</f>
        <v>491</v>
      </c>
      <c r="P46" s="354"/>
      <c r="Q46" s="332">
        <f>'11_Estacionamientos'!$S14</f>
        <v>520</v>
      </c>
      <c r="R46" s="354"/>
      <c r="S46" s="332">
        <f>'11_Estacionamientos'!$S15</f>
        <v>348</v>
      </c>
      <c r="T46" s="354"/>
      <c r="U46" s="332">
        <f>'11_Estacionamientos'!$S16</f>
        <v>180</v>
      </c>
      <c r="V46" s="355"/>
    </row>
    <row r="47" spans="1:23" s="219" customFormat="1" ht="12.75" customHeight="1">
      <c r="A47" s="385">
        <v>6</v>
      </c>
      <c r="B47" s="205" t="str">
        <f>'14_SIM_UF_INICIAL'!Q2</f>
        <v>VALOR VENTAS</v>
      </c>
      <c r="C47" s="1501">
        <f>E47/E$47</f>
        <v>1</v>
      </c>
      <c r="D47" s="1501"/>
      <c r="E47" s="1461">
        <f>SUM(G47,I47,K47,M47,O47,Q47,S47,U47)</f>
        <v>9118433554380.1953</v>
      </c>
      <c r="F47" s="218"/>
      <c r="G47" s="336">
        <f>SUM(G48,G57)</f>
        <v>910364451774.77075</v>
      </c>
      <c r="H47" s="1466">
        <f>G47/G$47</f>
        <v>1</v>
      </c>
      <c r="I47" s="336">
        <f>SUM(I48,I57)</f>
        <v>1088836270063.2808</v>
      </c>
      <c r="J47" s="1466">
        <f>I47/I$47</f>
        <v>1</v>
      </c>
      <c r="K47" s="336">
        <f>SUM(K48,K57)</f>
        <v>1145849615774.2258</v>
      </c>
      <c r="L47" s="356">
        <f>K47/K$47</f>
        <v>1</v>
      </c>
      <c r="M47" s="336">
        <f>SUM(M48,M57)</f>
        <v>1623529278190.0044</v>
      </c>
      <c r="N47" s="356">
        <f>M47/M$47</f>
        <v>1</v>
      </c>
      <c r="O47" s="336">
        <f>SUM(O48,O57)</f>
        <v>1278660854584.7339</v>
      </c>
      <c r="P47" s="356">
        <f>O47/O$47</f>
        <v>1</v>
      </c>
      <c r="Q47" s="336">
        <f>SUM(Q48,Q57)</f>
        <v>1352625094608.8062</v>
      </c>
      <c r="R47" s="356">
        <f>Q47/Q$47</f>
        <v>1</v>
      </c>
      <c r="S47" s="336">
        <f>SUM(S48,S57)</f>
        <v>898765653478.21167</v>
      </c>
      <c r="T47" s="356">
        <f>S47/S$47</f>
        <v>1</v>
      </c>
      <c r="U47" s="336">
        <f>SUM(U48,U57)</f>
        <v>819802335906.16187</v>
      </c>
      <c r="V47" s="361">
        <f>U47/U$47</f>
        <v>1</v>
      </c>
    </row>
    <row r="48" spans="1:23" s="219" customFormat="1" ht="12.75" customHeight="1">
      <c r="A48" s="387" t="s">
        <v>61</v>
      </c>
      <c r="B48" s="205" t="s">
        <v>931</v>
      </c>
      <c r="C48" s="1491">
        <f>E48/$E$47</f>
        <v>0.9825353774808584</v>
      </c>
      <c r="D48" s="1492"/>
      <c r="E48" s="1461">
        <f t="shared" ref="E48:E57" si="7">SUM(G48:U48)</f>
        <v>8959183554387.0703</v>
      </c>
      <c r="F48" s="218"/>
      <c r="G48" s="336">
        <f>'16_SIM_UF_FINAL'!Z9</f>
        <v>902464451774.77075</v>
      </c>
      <c r="H48" s="1466">
        <f>G48/$G$47</f>
        <v>0.99132215676414115</v>
      </c>
      <c r="I48" s="336">
        <f>'16_SIM_UF_FINAL'!$Z10</f>
        <v>1067936270063.2808</v>
      </c>
      <c r="J48" s="1466">
        <f t="shared" ref="J48:J63" si="8">I48/I$47</f>
        <v>0.98080519489051798</v>
      </c>
      <c r="K48" s="336">
        <f>'16_SIM_UF_FINAL'!$Z11</f>
        <v>1123849615774.2258</v>
      </c>
      <c r="L48" s="356">
        <f t="shared" ref="L48:L63" si="9">K48/K$47</f>
        <v>0.98080027283062354</v>
      </c>
      <c r="M48" s="336">
        <f>'16_SIM_UF_FINAL'!$Z12</f>
        <v>1592029278190.0044</v>
      </c>
      <c r="N48" s="356">
        <f t="shared" ref="N48:N63" si="10">M48/M$47</f>
        <v>0.98059782449065669</v>
      </c>
      <c r="O48" s="336">
        <f>'16_SIM_UF_FINAL'!$Z13</f>
        <v>1254110854584.7339</v>
      </c>
      <c r="P48" s="356">
        <f t="shared" ref="P48:P63" si="11">O48/O$47</f>
        <v>0.980800225554748</v>
      </c>
      <c r="Q48" s="336">
        <f>'16_SIM_UF_FINAL'!$Z14</f>
        <v>1326625094608.8062</v>
      </c>
      <c r="R48" s="356">
        <f t="shared" ref="R48:R63" si="12">Q48/Q$47</f>
        <v>0.98077811796954761</v>
      </c>
      <c r="S48" s="336">
        <f>'16_SIM_UF_FINAL'!$Z15</f>
        <v>881365653478.21167</v>
      </c>
      <c r="T48" s="356">
        <f t="shared" ref="T48:T63" si="13">S48/S$47</f>
        <v>0.9806401146587409</v>
      </c>
      <c r="U48" s="336">
        <f>'16_SIM_UF_FINAL'!$Z16</f>
        <v>810802335906.16187</v>
      </c>
      <c r="V48" s="361">
        <f t="shared" ref="V48:V63" si="14">U48/U$47</f>
        <v>0.98902174389384734</v>
      </c>
    </row>
    <row r="49" spans="1:24" s="219" customFormat="1" ht="12.75" customHeight="1">
      <c r="A49" s="385"/>
      <c r="B49" s="245" t="str">
        <f>'14_SIM_UF_INICIAL'!F$5</f>
        <v xml:space="preserve">a_CS - Creativos </v>
      </c>
      <c r="C49" s="1470">
        <f t="shared" ref="C49:C76" si="15">E49/$E$47</f>
        <v>2.0926334110246306E-2</v>
      </c>
      <c r="D49" s="1471"/>
      <c r="E49" s="1462">
        <f t="shared" si="7"/>
        <v>190815387121.04074</v>
      </c>
      <c r="F49" s="217"/>
      <c r="G49" s="1448">
        <f>'16_SIM_UF_FINAL'!$R9</f>
        <v>0</v>
      </c>
      <c r="H49" s="339">
        <f t="shared" ref="H49:H73" si="16">G49/$G$47</f>
        <v>0</v>
      </c>
      <c r="I49" s="1448">
        <f>'16_SIM_UF_FINAL'!$R10</f>
        <v>21174195328.389988</v>
      </c>
      <c r="J49" s="344">
        <f t="shared" si="8"/>
        <v>1.9446629314763174E-2</v>
      </c>
      <c r="K49" s="338">
        <f>'16_SIM_UF_FINAL'!$R11</f>
        <v>19322534269.162521</v>
      </c>
      <c r="L49" s="357">
        <f t="shared" si="9"/>
        <v>1.6863063008583985E-2</v>
      </c>
      <c r="M49" s="338">
        <f>'16_SIM_UF_FINAL'!$R12</f>
        <v>28189420245.81097</v>
      </c>
      <c r="N49" s="357">
        <f t="shared" si="10"/>
        <v>1.7363050130662267E-2</v>
      </c>
      <c r="O49" s="338">
        <f>'16_SIM_UF_FINAL'!$R13</f>
        <v>26873421110.718292</v>
      </c>
      <c r="P49" s="357">
        <f t="shared" si="11"/>
        <v>2.1016848223953707E-2</v>
      </c>
      <c r="Q49" s="338">
        <f>'16_SIM_UF_FINAL'!$R14</f>
        <v>30839995139.147003</v>
      </c>
      <c r="R49" s="357">
        <f t="shared" si="12"/>
        <v>2.280010570709267E-2</v>
      </c>
      <c r="S49" s="338">
        <f>'16_SIM_UF_FINAL'!$R15</f>
        <v>64415821027.642792</v>
      </c>
      <c r="T49" s="357">
        <f t="shared" si="13"/>
        <v>7.167143156656508E-2</v>
      </c>
      <c r="U49" s="338">
        <f>'16_SIM_UF_FINAL'!$R16</f>
        <v>0</v>
      </c>
      <c r="V49" s="362">
        <f t="shared" si="14"/>
        <v>0</v>
      </c>
      <c r="W49" s="209"/>
      <c r="X49" s="209"/>
    </row>
    <row r="50" spans="1:24" s="219" customFormat="1" ht="12.75" customHeight="1">
      <c r="A50" s="385"/>
      <c r="B50" s="245" t="str">
        <f>'14_SIM_UF_INICIAL'!G$5</f>
        <v>b_CS - General (Comercio + Oficinas + Hospedaje)</v>
      </c>
      <c r="C50" s="1470">
        <f t="shared" si="15"/>
        <v>7.8174998516495342E-2</v>
      </c>
      <c r="D50" s="1471"/>
      <c r="E50" s="1462">
        <f t="shared" si="7"/>
        <v>712833529586.43311</v>
      </c>
      <c r="F50" s="217"/>
      <c r="G50" s="1448">
        <f>'16_SIM_UF_FINAL'!$S9</f>
        <v>71149049955.992752</v>
      </c>
      <c r="H50" s="339">
        <f t="shared" si="16"/>
        <v>7.8154468594733115E-2</v>
      </c>
      <c r="I50" s="1448">
        <f>'16_SIM_UF_FINAL'!$S10</f>
        <v>97446436806.621475</v>
      </c>
      <c r="J50" s="344">
        <f t="shared" si="8"/>
        <v>8.9495950388351869E-2</v>
      </c>
      <c r="K50" s="338">
        <f>'16_SIM_UF_FINAL'!$S11</f>
        <v>107012306503.69406</v>
      </c>
      <c r="L50" s="357">
        <f t="shared" si="9"/>
        <v>9.3391231301664449E-2</v>
      </c>
      <c r="M50" s="338">
        <f>'16_SIM_UF_FINAL'!$S12</f>
        <v>128624146369.73361</v>
      </c>
      <c r="N50" s="357">
        <f t="shared" si="10"/>
        <v>7.9225024209683831E-2</v>
      </c>
      <c r="O50" s="338">
        <f>'16_SIM_UF_FINAL'!$S13</f>
        <v>112023996842.52405</v>
      </c>
      <c r="P50" s="357">
        <f t="shared" si="11"/>
        <v>8.7610406184606068E-2</v>
      </c>
      <c r="Q50" s="338">
        <f>'16_SIM_UF_FINAL'!$S14</f>
        <v>123044602954.6507</v>
      </c>
      <c r="R50" s="357">
        <f t="shared" si="12"/>
        <v>9.0967263172236593E-2</v>
      </c>
      <c r="S50" s="338">
        <f>'16_SIM_UF_FINAL'!$S15</f>
        <v>73532990152.615829</v>
      </c>
      <c r="T50" s="357">
        <f t="shared" si="13"/>
        <v>8.1815532077849321E-2</v>
      </c>
      <c r="U50" s="338">
        <f>'16_SIM_UF_FINAL'!$S16</f>
        <v>0</v>
      </c>
      <c r="V50" s="362">
        <f t="shared" si="14"/>
        <v>0</v>
      </c>
      <c r="W50" s="209"/>
      <c r="X50" s="209"/>
    </row>
    <row r="51" spans="1:24" s="219" customFormat="1" ht="12.75" customHeight="1">
      <c r="A51" s="385"/>
      <c r="B51" s="245" t="str">
        <f>'14_SIM_UF_INICIAL'!H$5</f>
        <v>c_CS - Grandes Superficies</v>
      </c>
      <c r="C51" s="1470">
        <f t="shared" si="15"/>
        <v>1.1926872587460743E-3</v>
      </c>
      <c r="D51" s="1471"/>
      <c r="E51" s="1462">
        <f t="shared" si="7"/>
        <v>10875439520.031939</v>
      </c>
      <c r="F51" s="217"/>
      <c r="G51" s="1448">
        <f>'16_SIM_UF_FINAL'!$T9</f>
        <v>0</v>
      </c>
      <c r="H51" s="339">
        <f t="shared" si="16"/>
        <v>0</v>
      </c>
      <c r="I51" s="1448">
        <f>'16_SIM_UF_FINAL'!$T10</f>
        <v>0</v>
      </c>
      <c r="J51" s="344">
        <f t="shared" si="8"/>
        <v>0</v>
      </c>
      <c r="K51" s="338">
        <f>'16_SIM_UF_FINAL'!$T11</f>
        <v>0</v>
      </c>
      <c r="L51" s="357">
        <f t="shared" si="9"/>
        <v>0</v>
      </c>
      <c r="M51" s="338">
        <f>'16_SIM_UF_FINAL'!$T12</f>
        <v>10875439520.02524</v>
      </c>
      <c r="N51" s="357">
        <f t="shared" si="10"/>
        <v>6.6986408351993199E-3</v>
      </c>
      <c r="O51" s="338">
        <f>'16_SIM_UF_FINAL'!$T13</f>
        <v>0</v>
      </c>
      <c r="P51" s="357">
        <f t="shared" si="11"/>
        <v>0</v>
      </c>
      <c r="Q51" s="338">
        <f>'16_SIM_UF_FINAL'!$T14</f>
        <v>0</v>
      </c>
      <c r="R51" s="357">
        <f t="shared" si="12"/>
        <v>0</v>
      </c>
      <c r="S51" s="338">
        <f>'16_SIM_UF_FINAL'!$T15</f>
        <v>0</v>
      </c>
      <c r="T51" s="357">
        <f t="shared" si="13"/>
        <v>0</v>
      </c>
      <c r="U51" s="338">
        <f>'16_SIM_UF_FINAL'!$T16</f>
        <v>0</v>
      </c>
      <c r="V51" s="362">
        <f t="shared" si="14"/>
        <v>0</v>
      </c>
      <c r="W51" s="209"/>
      <c r="X51" s="209"/>
    </row>
    <row r="52" spans="1:24" s="219" customFormat="1" ht="12.75" customHeight="1">
      <c r="A52" s="385"/>
      <c r="B52" s="245" t="str">
        <f>'14_SIM_UF_INICIAL'!I$5</f>
        <v>d_CS - Torre Empresarial (Oficinas + Hospedaje)</v>
      </c>
      <c r="C52" s="1470">
        <f t="shared" si="15"/>
        <v>9.1168663659379812E-2</v>
      </c>
      <c r="D52" s="1471"/>
      <c r="E52" s="1462">
        <f t="shared" si="7"/>
        <v>831315401819.69116</v>
      </c>
      <c r="F52" s="217"/>
      <c r="G52" s="1448">
        <f>'16_SIM_UF_FINAL'!$U9</f>
        <v>831315401818.77795</v>
      </c>
      <c r="H52" s="339">
        <f t="shared" si="16"/>
        <v>0.91316768816940808</v>
      </c>
      <c r="I52" s="1448">
        <f>'16_SIM_UF_FINAL'!$U10</f>
        <v>0</v>
      </c>
      <c r="J52" s="344">
        <f t="shared" si="8"/>
        <v>0</v>
      </c>
      <c r="K52" s="338">
        <f>'16_SIM_UF_FINAL'!$U11</f>
        <v>0</v>
      </c>
      <c r="L52" s="357">
        <f t="shared" si="9"/>
        <v>0</v>
      </c>
      <c r="M52" s="338">
        <f>'16_SIM_UF_FINAL'!$U12</f>
        <v>0</v>
      </c>
      <c r="N52" s="357">
        <f t="shared" si="10"/>
        <v>0</v>
      </c>
      <c r="O52" s="338">
        <f>'16_SIM_UF_FINAL'!$U13</f>
        <v>0</v>
      </c>
      <c r="P52" s="357">
        <f t="shared" si="11"/>
        <v>0</v>
      </c>
      <c r="Q52" s="338">
        <f>'16_SIM_UF_FINAL'!$U14</f>
        <v>0</v>
      </c>
      <c r="R52" s="357">
        <f t="shared" si="12"/>
        <v>0</v>
      </c>
      <c r="S52" s="338">
        <f>'16_SIM_UF_FINAL'!$U15</f>
        <v>0</v>
      </c>
      <c r="T52" s="357">
        <f t="shared" si="13"/>
        <v>0</v>
      </c>
      <c r="U52" s="338">
        <f>'16_SIM_UF_FINAL'!$U16</f>
        <v>0</v>
      </c>
      <c r="V52" s="362">
        <f t="shared" si="14"/>
        <v>0</v>
      </c>
      <c r="W52" s="209"/>
      <c r="X52" s="209"/>
    </row>
    <row r="53" spans="1:24" s="219" customFormat="1" ht="12.75" customHeight="1">
      <c r="A53" s="385"/>
      <c r="B53" s="245" t="str">
        <f>'14_SIM_UF_INICIAL'!J$5</f>
        <v>e_CS - Innovation (H, CS, Gamers)</v>
      </c>
      <c r="C53" s="1470">
        <f t="shared" si="15"/>
        <v>8.8919037581480107E-2</v>
      </c>
      <c r="D53" s="1471"/>
      <c r="E53" s="1462">
        <f t="shared" si="7"/>
        <v>810802335906.16187</v>
      </c>
      <c r="F53" s="217"/>
      <c r="G53" s="1448">
        <f>'16_SIM_UF_FINAL'!$V9</f>
        <v>0</v>
      </c>
      <c r="H53" s="339">
        <f t="shared" si="16"/>
        <v>0</v>
      </c>
      <c r="I53" s="1448">
        <f>'16_SIM_UF_FINAL'!$V10</f>
        <v>0</v>
      </c>
      <c r="J53" s="344">
        <f t="shared" si="8"/>
        <v>0</v>
      </c>
      <c r="K53" s="338">
        <f>'16_SIM_UF_FINAL'!$V11</f>
        <v>0</v>
      </c>
      <c r="L53" s="357">
        <f t="shared" si="9"/>
        <v>0</v>
      </c>
      <c r="M53" s="338">
        <f>'16_SIM_UF_FINAL'!$V12</f>
        <v>0</v>
      </c>
      <c r="N53" s="357">
        <f t="shared" si="10"/>
        <v>0</v>
      </c>
      <c r="O53" s="338">
        <f>'16_SIM_UF_FINAL'!$V13</f>
        <v>0</v>
      </c>
      <c r="P53" s="357">
        <f t="shared" si="11"/>
        <v>0</v>
      </c>
      <c r="Q53" s="338">
        <f>'16_SIM_UF_FINAL'!$V14</f>
        <v>0</v>
      </c>
      <c r="R53" s="357">
        <f t="shared" si="12"/>
        <v>0</v>
      </c>
      <c r="S53" s="338">
        <f>'16_SIM_UF_FINAL'!$V15</f>
        <v>0</v>
      </c>
      <c r="T53" s="357">
        <f t="shared" si="13"/>
        <v>0</v>
      </c>
      <c r="U53" s="338">
        <f>'16_SIM_UF_FINAL'!$V16</f>
        <v>810802335906.16187</v>
      </c>
      <c r="V53" s="362">
        <f t="shared" si="14"/>
        <v>0.98902174389384734</v>
      </c>
      <c r="W53" s="209"/>
      <c r="X53" s="209"/>
    </row>
    <row r="54" spans="1:24" s="219" customFormat="1" ht="12.75" customHeight="1">
      <c r="A54" s="385"/>
      <c r="B54" s="245" t="str">
        <f>'14_SIM_UF_INICIAL'!L$5</f>
        <v>h_VIS_RU</v>
      </c>
      <c r="C54" s="1470">
        <f t="shared" si="15"/>
        <v>5.9923026370695597E-2</v>
      </c>
      <c r="D54" s="1471"/>
      <c r="E54" s="1462">
        <f t="shared" si="7"/>
        <v>546404134338.56</v>
      </c>
      <c r="F54" s="217"/>
      <c r="G54" s="1448">
        <f>'16_SIM_UF_FINAL'!$W9</f>
        <v>0</v>
      </c>
      <c r="H54" s="339">
        <f t="shared" si="16"/>
        <v>0</v>
      </c>
      <c r="I54" s="1448">
        <f>'16_SIM_UF_FINAL'!$W10</f>
        <v>80176055799.23143</v>
      </c>
      <c r="J54" s="344">
        <f t="shared" si="8"/>
        <v>7.363462992886137E-2</v>
      </c>
      <c r="K54" s="338">
        <f>'16_SIM_UF_FINAL'!$W11</f>
        <v>84351697233.408798</v>
      </c>
      <c r="L54" s="357">
        <f t="shared" si="9"/>
        <v>7.361498059796806E-2</v>
      </c>
      <c r="M54" s="338">
        <f>'16_SIM_UF_FINAL'!$W12</f>
        <v>120757729988.15097</v>
      </c>
      <c r="N54" s="357">
        <f t="shared" si="10"/>
        <v>7.4379767344127004E-2</v>
      </c>
      <c r="O54" s="338">
        <f>'16_SIM_UF_FINAL'!$W13</f>
        <v>94174959037.034134</v>
      </c>
      <c r="P54" s="357">
        <f t="shared" si="11"/>
        <v>7.3651241217999902E-2</v>
      </c>
      <c r="Q54" s="338">
        <f>'16_SIM_UF_FINAL'!$W14</f>
        <v>99727493763.349182</v>
      </c>
      <c r="R54" s="357">
        <f t="shared" si="12"/>
        <v>7.3728850781222169E-2</v>
      </c>
      <c r="S54" s="338">
        <f>'16_SIM_UF_FINAL'!$W15</f>
        <v>67216198516.941635</v>
      </c>
      <c r="T54" s="357">
        <f t="shared" si="13"/>
        <v>7.4787235423178222E-2</v>
      </c>
      <c r="U54" s="338">
        <f>'16_SIM_UF_FINAL'!$W16</f>
        <v>0</v>
      </c>
      <c r="V54" s="362">
        <f t="shared" si="14"/>
        <v>0</v>
      </c>
      <c r="W54" s="209"/>
      <c r="X54" s="209"/>
    </row>
    <row r="55" spans="1:24" s="219" customFormat="1" ht="12.75" customHeight="1">
      <c r="A55" s="385"/>
      <c r="B55" s="245" t="str">
        <f>'14_SIM_UF_INICIAL'!M$5</f>
        <v>i_VIP RU</v>
      </c>
      <c r="C55" s="1470">
        <f t="shared" si="15"/>
        <v>2.6415048359327037E-2</v>
      </c>
      <c r="D55" s="1471"/>
      <c r="E55" s="1462">
        <f t="shared" si="7"/>
        <v>240863863300.26318</v>
      </c>
      <c r="F55" s="217"/>
      <c r="G55" s="1448">
        <f>'16_SIM_UF_FINAL'!$X9</f>
        <v>0</v>
      </c>
      <c r="H55" s="339">
        <f t="shared" si="16"/>
        <v>0</v>
      </c>
      <c r="I55" s="1448">
        <f>'16_SIM_UF_FINAL'!$X10</f>
        <v>35342914393.1306</v>
      </c>
      <c r="J55" s="344">
        <f t="shared" si="8"/>
        <v>3.2459347070681752E-2</v>
      </c>
      <c r="K55" s="338">
        <f>'16_SIM_UF_FINAL'!$X11</f>
        <v>37183605311.05368</v>
      </c>
      <c r="L55" s="357">
        <f t="shared" si="9"/>
        <v>3.2450685324818582E-2</v>
      </c>
      <c r="M55" s="338">
        <f>'16_SIM_UF_FINAL'!$X12</f>
        <v>53231978933.552269</v>
      </c>
      <c r="N55" s="357">
        <f t="shared" si="10"/>
        <v>3.278781580883966E-2</v>
      </c>
      <c r="O55" s="338">
        <f>'16_SIM_UF_FINAL'!$X13</f>
        <v>41513859493.876274</v>
      </c>
      <c r="P55" s="357">
        <f t="shared" si="11"/>
        <v>3.2466669598138737E-2</v>
      </c>
      <c r="Q55" s="338">
        <f>'16_SIM_UF_FINAL'!$X14</f>
        <v>43961507454.864136</v>
      </c>
      <c r="R55" s="357">
        <f t="shared" si="12"/>
        <v>3.2500881160702023E-2</v>
      </c>
      <c r="S55" s="338">
        <f>'16_SIM_UF_FINAL'!$X15</f>
        <v>29629997713.590603</v>
      </c>
      <c r="T55" s="357">
        <f t="shared" si="13"/>
        <v>3.2967434390625508E-2</v>
      </c>
      <c r="U55" s="338">
        <f>'16_SIM_UF_FINAL'!$X16</f>
        <v>0</v>
      </c>
      <c r="V55" s="362">
        <f t="shared" si="14"/>
        <v>0</v>
      </c>
      <c r="W55" s="209"/>
      <c r="X55" s="209"/>
    </row>
    <row r="56" spans="1:24" s="219" customFormat="1" ht="12.75" customHeight="1">
      <c r="A56" s="385"/>
      <c r="B56" s="245" t="str">
        <f>'14_SIM_UF_INICIAL'!K$5</f>
        <v>i_RES - No VIS</v>
      </c>
      <c r="C56" s="1470">
        <f t="shared" si="15"/>
        <v>0.61581558162448824</v>
      </c>
      <c r="D56" s="1471"/>
      <c r="E56" s="1462">
        <f t="shared" si="7"/>
        <v>5615273462794.8896</v>
      </c>
      <c r="F56" s="217"/>
      <c r="G56" s="1448">
        <f>'16_SIM_UF_FINAL'!$Y9</f>
        <v>0</v>
      </c>
      <c r="H56" s="339">
        <f t="shared" si="16"/>
        <v>0</v>
      </c>
      <c r="I56" s="1448">
        <f>'16_SIM_UF_FINAL'!$Y10</f>
        <v>833796667735.90723</v>
      </c>
      <c r="J56" s="344">
        <f t="shared" si="8"/>
        <v>0.76576863818785978</v>
      </c>
      <c r="K56" s="338">
        <f>'16_SIM_UF_FINAL'!$Y11</f>
        <v>875979472456.90686</v>
      </c>
      <c r="L56" s="357">
        <f t="shared" si="9"/>
        <v>0.76448031259758853</v>
      </c>
      <c r="M56" s="338">
        <f>'16_SIM_UF_FINAL'!$Y12</f>
        <v>1250350563132.7314</v>
      </c>
      <c r="N56" s="357">
        <f t="shared" si="10"/>
        <v>0.77014352616214465</v>
      </c>
      <c r="O56" s="338">
        <f>'16_SIM_UF_FINAL'!$Y13</f>
        <v>979524618100.58118</v>
      </c>
      <c r="P56" s="357">
        <f t="shared" si="11"/>
        <v>0.76605506033004966</v>
      </c>
      <c r="Q56" s="338">
        <f>'16_SIM_UF_FINAL'!$Y14</f>
        <v>1029051495296.7952</v>
      </c>
      <c r="R56" s="357">
        <f t="shared" si="12"/>
        <v>0.76078101714829416</v>
      </c>
      <c r="S56" s="338">
        <f>'16_SIM_UF_FINAL'!$Y15</f>
        <v>646570646067.42078</v>
      </c>
      <c r="T56" s="357">
        <f t="shared" si="13"/>
        <v>0.71939848120052274</v>
      </c>
      <c r="U56" s="338">
        <f>'16_SIM_UF_FINAL'!$Y16</f>
        <v>0</v>
      </c>
      <c r="V56" s="362">
        <f t="shared" si="14"/>
        <v>0</v>
      </c>
      <c r="W56" s="209"/>
      <c r="X56" s="209"/>
    </row>
    <row r="57" spans="1:24" s="219" customFormat="1" ht="12.75" customHeight="1">
      <c r="A57" s="387" t="s">
        <v>65</v>
      </c>
      <c r="B57" s="205" t="s">
        <v>932</v>
      </c>
      <c r="C57" s="1491">
        <f t="shared" si="15"/>
        <v>1.7464622519909222E-2</v>
      </c>
      <c r="D57" s="1492"/>
      <c r="E57" s="1461">
        <f t="shared" si="7"/>
        <v>159250000000.12427</v>
      </c>
      <c r="F57" s="218"/>
      <c r="G57" s="1447">
        <f>'16_SIM_UF_FINAL'!$AA9</f>
        <v>7900000000</v>
      </c>
      <c r="H57" s="337">
        <f t="shared" si="16"/>
        <v>8.6778432358588006E-3</v>
      </c>
      <c r="I57" s="1447">
        <f>'16_SIM_UF_FINAL'!$AA10</f>
        <v>20900000000</v>
      </c>
      <c r="J57" s="1397">
        <f t="shared" si="8"/>
        <v>1.9194805109482016E-2</v>
      </c>
      <c r="K57" s="336">
        <f>'16_SIM_UF_FINAL'!$AA11</f>
        <v>22000000000</v>
      </c>
      <c r="L57" s="356">
        <f t="shared" si="9"/>
        <v>1.9199727169376478E-2</v>
      </c>
      <c r="M57" s="336">
        <f>'16_SIM_UF_FINAL'!$AA12</f>
        <v>31500000000</v>
      </c>
      <c r="N57" s="356">
        <f t="shared" si="10"/>
        <v>1.9402175509343356E-2</v>
      </c>
      <c r="O57" s="336">
        <f>'16_SIM_UF_FINAL'!$AA13</f>
        <v>24550000000</v>
      </c>
      <c r="P57" s="356">
        <f t="shared" si="11"/>
        <v>1.9199774445251956E-2</v>
      </c>
      <c r="Q57" s="336">
        <f>'16_SIM_UF_FINAL'!$AA14</f>
        <v>26000000000</v>
      </c>
      <c r="R57" s="356">
        <f t="shared" si="12"/>
        <v>1.9221882030452407E-2</v>
      </c>
      <c r="S57" s="336">
        <f>'16_SIM_UF_FINAL'!$AA15</f>
        <v>17400000000</v>
      </c>
      <c r="T57" s="356">
        <f t="shared" si="13"/>
        <v>1.9359885341259115E-2</v>
      </c>
      <c r="U57" s="336">
        <f>'16_SIM_UF_FINAL'!$AA16</f>
        <v>9000000000</v>
      </c>
      <c r="V57" s="361">
        <f t="shared" si="14"/>
        <v>1.0978256106152617E-2</v>
      </c>
    </row>
    <row r="58" spans="1:24" s="219" customFormat="1">
      <c r="A58" s="385">
        <v>7</v>
      </c>
      <c r="B58" s="205" t="str">
        <f>'16_SIM_UF_FINAL'!AS1</f>
        <v>COSTOS DIRECTOS DE CONSTRUCCION (C.D.)</v>
      </c>
      <c r="C58" s="1491">
        <f t="shared" si="15"/>
        <v>0.56421098978383821</v>
      </c>
      <c r="D58" s="1492"/>
      <c r="E58" s="1461">
        <f>SUM(G58,I58,K58,M58,O58,Q58,S58,U58)</f>
        <v>5144720420995.0117</v>
      </c>
      <c r="F58" s="218"/>
      <c r="G58" s="1447">
        <f>'16_SIM_UF_FINAL'!$BE9</f>
        <v>460235758323.92346</v>
      </c>
      <c r="H58" s="337">
        <f t="shared" si="16"/>
        <v>0.50555110914830448</v>
      </c>
      <c r="I58" s="1447">
        <f>'16_SIM_UF_FINAL'!$BE10</f>
        <v>628384212715.91589</v>
      </c>
      <c r="J58" s="1397">
        <f t="shared" si="8"/>
        <v>0.57711543047642566</v>
      </c>
      <c r="K58" s="336">
        <f>'16_SIM_UF_FINAL'!$BE11</f>
        <v>661191116421.85754</v>
      </c>
      <c r="L58" s="356">
        <f t="shared" si="9"/>
        <v>0.57703132009614111</v>
      </c>
      <c r="M58" s="336">
        <f>'16_SIM_UF_FINAL'!$BE12</f>
        <v>941188590531.53857</v>
      </c>
      <c r="N58" s="356">
        <f t="shared" si="10"/>
        <v>0.57971765780585427</v>
      </c>
      <c r="O58" s="336">
        <f>'16_SIM_UF_FINAL'!$BE13</f>
        <v>737940337908.76392</v>
      </c>
      <c r="P58" s="356">
        <f t="shared" si="11"/>
        <v>0.57711967584119261</v>
      </c>
      <c r="Q58" s="336">
        <f>'16_SIM_UF_FINAL'!$BE14</f>
        <v>779873706888.05811</v>
      </c>
      <c r="R58" s="356">
        <f t="shared" si="12"/>
        <v>0.5765630920174567</v>
      </c>
      <c r="S58" s="336">
        <f>'16_SIM_UF_FINAL'!$BE15</f>
        <v>514185002286.0174</v>
      </c>
      <c r="T58" s="356">
        <f t="shared" si="13"/>
        <v>0.57210130393404324</v>
      </c>
      <c r="U58" s="336">
        <f>'16_SIM_UF_FINAL'!$BE16</f>
        <v>421721695918.93793</v>
      </c>
      <c r="V58" s="361">
        <f t="shared" si="14"/>
        <v>0.5144187537021242</v>
      </c>
    </row>
    <row r="59" spans="1:24" s="219" customFormat="1">
      <c r="A59" s="387"/>
      <c r="B59" s="245" t="str">
        <f>'17_Resumen_SIM_UF'!B22</f>
        <v xml:space="preserve">Costo construcción usos </v>
      </c>
      <c r="C59" s="1470">
        <f t="shared" ref="C59:C62" si="17">E59/$E$47</f>
        <v>0.51160809753100789</v>
      </c>
      <c r="D59" s="1471"/>
      <c r="E59" s="1462">
        <f t="shared" ref="E59:E62" si="18">SUM(G59:U59)</f>
        <v>4665064443219.3574</v>
      </c>
      <c r="F59" s="218"/>
      <c r="G59" s="1448">
        <f>'16_SIM_UF_FINAL'!$BA9</f>
        <v>426414453463.5791</v>
      </c>
      <c r="H59" s="339">
        <f t="shared" si="16"/>
        <v>0.46839971907105665</v>
      </c>
      <c r="I59" s="1448">
        <f>'16_SIM_UF_FINAL'!$BA10</f>
        <v>568308144746.81152</v>
      </c>
      <c r="J59" s="344">
        <f t="shared" si="8"/>
        <v>0.52194086509791116</v>
      </c>
      <c r="K59" s="338">
        <f>'16_SIM_UF_FINAL'!$BA11</f>
        <v>598013046416.20386</v>
      </c>
      <c r="L59" s="357">
        <f t="shared" si="9"/>
        <v>0.52189487885994479</v>
      </c>
      <c r="M59" s="338">
        <f>'16_SIM_UF_FINAL'!$BA12</f>
        <v>850901421920.95679</v>
      </c>
      <c r="N59" s="357">
        <f t="shared" si="10"/>
        <v>0.52410599140508651</v>
      </c>
      <c r="O59" s="338">
        <f>'16_SIM_UF_FINAL'!$BA13</f>
        <v>667374000894.47485</v>
      </c>
      <c r="P59" s="357">
        <f t="shared" si="11"/>
        <v>0.521931987283067</v>
      </c>
      <c r="Q59" s="338">
        <f>'16_SIM_UF_FINAL'!$BA14</f>
        <v>705450640802.48889</v>
      </c>
      <c r="R59" s="357">
        <f t="shared" si="12"/>
        <v>0.52154188445432681</v>
      </c>
      <c r="S59" s="338">
        <f>'16_SIM_UF_FINAL'!$BA15</f>
        <v>465498631255.58307</v>
      </c>
      <c r="T59" s="357">
        <f t="shared" si="13"/>
        <v>0.5179310418173072</v>
      </c>
      <c r="U59" s="338">
        <f>'16_SIM_UF_FINAL'!$BA16</f>
        <v>383104103715.6615</v>
      </c>
      <c r="V59" s="362">
        <f t="shared" si="14"/>
        <v>0.46731277398984289</v>
      </c>
    </row>
    <row r="60" spans="1:24" s="219" customFormat="1">
      <c r="A60" s="387"/>
      <c r="B60" s="245" t="str">
        <f>'17_Resumen_SIM_UF'!B23</f>
        <v>Costo construcción estacionamientos</v>
      </c>
      <c r="C60" s="1470">
        <f t="shared" si="17"/>
        <v>2.0808622751932463E-2</v>
      </c>
      <c r="D60" s="1471"/>
      <c r="E60" s="1462">
        <f t="shared" si="18"/>
        <v>189742043921.66013</v>
      </c>
      <c r="F60" s="218"/>
      <c r="G60" s="1448">
        <f>'16_SIM_UF_FINAL'!$BB9</f>
        <v>12602051756.644884</v>
      </c>
      <c r="H60" s="339">
        <f t="shared" si="16"/>
        <v>1.3842864505613079E-2</v>
      </c>
      <c r="I60" s="1448">
        <f>'16_SIM_UF_FINAL'!$BB10</f>
        <v>23904495333.063622</v>
      </c>
      <c r="J60" s="344">
        <f t="shared" si="8"/>
        <v>2.1954168859266918E-2</v>
      </c>
      <c r="K60" s="338">
        <f>'16_SIM_UF_FINAL'!$BB11</f>
        <v>25146043993.805592</v>
      </c>
      <c r="L60" s="357">
        <f t="shared" si="9"/>
        <v>2.1945326548645699E-2</v>
      </c>
      <c r="M60" s="338">
        <f>'16_SIM_UF_FINAL'!$BB12</f>
        <v>35988844032.304207</v>
      </c>
      <c r="N60" s="357">
        <f t="shared" si="10"/>
        <v>2.2167043437877794E-2</v>
      </c>
      <c r="O60" s="338">
        <f>'16_SIM_UF_FINAL'!$BB13</f>
        <v>28078669180.59388</v>
      </c>
      <c r="P60" s="357">
        <f t="shared" si="11"/>
        <v>2.1959434419154787E-2</v>
      </c>
      <c r="Q60" s="338">
        <f>'16_SIM_UF_FINAL'!$BB14</f>
        <v>29711538571.719902</v>
      </c>
      <c r="R60" s="357">
        <f t="shared" si="12"/>
        <v>2.1965834206493708E-2</v>
      </c>
      <c r="S60" s="338">
        <f>'16_SIM_UF_FINAL'!$BB15</f>
        <v>19896137303.939217</v>
      </c>
      <c r="T60" s="357">
        <f t="shared" si="13"/>
        <v>2.213718028380526E-2</v>
      </c>
      <c r="U60" s="338">
        <f>'16_SIM_UF_FINAL'!$BB16</f>
        <v>14414263749.442879</v>
      </c>
      <c r="V60" s="362">
        <f t="shared" si="14"/>
        <v>1.7582608780335067E-2</v>
      </c>
    </row>
    <row r="61" spans="1:24" s="219" customFormat="1">
      <c r="A61" s="387"/>
      <c r="B61" s="245" t="str">
        <f>'17_Resumen_SIM_UF'!B24</f>
        <v>Costo construcción Equipamiento Comunal Privado</v>
      </c>
      <c r="C61" s="1470">
        <f t="shared" si="17"/>
        <v>3.0529318704387048E-2</v>
      </c>
      <c r="D61" s="1471"/>
      <c r="E61" s="1462">
        <f t="shared" si="18"/>
        <v>278379564066.44977</v>
      </c>
      <c r="F61" s="218"/>
      <c r="G61" s="1448">
        <f>'16_SIM_UF_FINAL'!$BC9</f>
        <v>20363875266.326916</v>
      </c>
      <c r="H61" s="339">
        <f t="shared" si="16"/>
        <v>2.2368926232375616E-2</v>
      </c>
      <c r="I61" s="1448">
        <f>'16_SIM_UF_FINAL'!$BC10</f>
        <v>34791503856.048676</v>
      </c>
      <c r="J61" s="344">
        <f t="shared" si="8"/>
        <v>3.1952925166633797E-2</v>
      </c>
      <c r="K61" s="338">
        <f>'16_SIM_UF_FINAL'!$BC11</f>
        <v>36560204379.531044</v>
      </c>
      <c r="L61" s="357">
        <f t="shared" si="9"/>
        <v>3.1906634061074503E-2</v>
      </c>
      <c r="M61" s="338">
        <f>'16_SIM_UF_FINAL'!$BC12</f>
        <v>52210616448.124352</v>
      </c>
      <c r="N61" s="357">
        <f t="shared" si="10"/>
        <v>3.2158715675476755E-2</v>
      </c>
      <c r="O61" s="338">
        <f>'16_SIM_UF_FINAL'!$BC13</f>
        <v>40871235277.458244</v>
      </c>
      <c r="P61" s="357">
        <f t="shared" si="11"/>
        <v>3.1964093630387901E-2</v>
      </c>
      <c r="Q61" s="338">
        <f>'16_SIM_UF_FINAL'!$BC14</f>
        <v>42994422272.396233</v>
      </c>
      <c r="R61" s="357">
        <f t="shared" si="12"/>
        <v>3.1785912034132918E-2</v>
      </c>
      <c r="S61" s="338">
        <f>'16_SIM_UF_FINAL'!$BC15</f>
        <v>27340461242.591702</v>
      </c>
      <c r="T61" s="357">
        <f t="shared" si="13"/>
        <v>3.0420011197339888E-2</v>
      </c>
      <c r="U61" s="338">
        <f>'16_SIM_UF_FINAL'!$BC16</f>
        <v>23247245323.760033</v>
      </c>
      <c r="V61" s="362">
        <f t="shared" si="14"/>
        <v>2.8357134769644049E-2</v>
      </c>
    </row>
    <row r="62" spans="1:24" s="219" customFormat="1">
      <c r="A62" s="387"/>
      <c r="B62" s="245" t="str">
        <f>'17_Resumen_SIM_UF'!B25</f>
        <v>Costo urbanismo interno</v>
      </c>
      <c r="C62" s="1470">
        <f t="shared" si="17"/>
        <v>1.2649507969458378E-3</v>
      </c>
      <c r="D62" s="1471"/>
      <c r="E62" s="1462">
        <f t="shared" si="18"/>
        <v>11534369791.510897</v>
      </c>
      <c r="F62" s="218"/>
      <c r="G62" s="1448">
        <f>'16_SIM_UF_FINAL'!$BD9</f>
        <v>855377837.37256753</v>
      </c>
      <c r="H62" s="339">
        <f t="shared" si="16"/>
        <v>9.3959933925912215E-4</v>
      </c>
      <c r="I62" s="1448">
        <f>'16_SIM_UF_FINAL'!$BD10</f>
        <v>1380068779.9921136</v>
      </c>
      <c r="J62" s="344">
        <f t="shared" si="8"/>
        <v>1.2674713526138388E-3</v>
      </c>
      <c r="K62" s="338">
        <f>'16_SIM_UF_FINAL'!$BD11</f>
        <v>1471821632.3170919</v>
      </c>
      <c r="L62" s="357">
        <f t="shared" si="9"/>
        <v>1.2844806264761138E-3</v>
      </c>
      <c r="M62" s="338">
        <f>'16_SIM_UF_FINAL'!$BD12</f>
        <v>2087708130.1531558</v>
      </c>
      <c r="N62" s="357">
        <f t="shared" si="10"/>
        <v>1.285907287413161E-3</v>
      </c>
      <c r="O62" s="338">
        <f>'16_SIM_UF_FINAL'!$BD13</f>
        <v>1616432556.2369194</v>
      </c>
      <c r="P62" s="357">
        <f t="shared" si="11"/>
        <v>1.2641605085829287E-3</v>
      </c>
      <c r="Q62" s="338">
        <f>'16_SIM_UF_FINAL'!$BD14</f>
        <v>1717105241.4530962</v>
      </c>
      <c r="R62" s="357">
        <f t="shared" si="12"/>
        <v>1.269461322503189E-3</v>
      </c>
      <c r="S62" s="338">
        <f>'16_SIM_UF_FINAL'!$BD15</f>
        <v>1449772483.9034679</v>
      </c>
      <c r="T62" s="357">
        <f t="shared" si="13"/>
        <v>1.6130706355910096E-3</v>
      </c>
      <c r="U62" s="338">
        <f>'16_SIM_UF_FINAL'!$BD16</f>
        <v>956083130.0735594</v>
      </c>
      <c r="V62" s="362">
        <f t="shared" si="14"/>
        <v>1.1662361623021734E-3</v>
      </c>
    </row>
    <row r="63" spans="1:24" s="219" customFormat="1">
      <c r="A63" s="385">
        <v>8</v>
      </c>
      <c r="B63" s="205" t="s">
        <v>933</v>
      </c>
      <c r="C63" s="1491">
        <f t="shared" si="15"/>
        <v>0.22038894371145537</v>
      </c>
      <c r="D63" s="1492"/>
      <c r="E63" s="1461">
        <f t="shared" ref="E63:E76" si="19">SUM(G63,I63,K63,M63,O63,Q63,S63,U63)</f>
        <v>2009601939352.9429</v>
      </c>
      <c r="F63" s="218"/>
      <c r="G63" s="1447">
        <f>SUM(G64:G73)</f>
        <v>203472779912.68042</v>
      </c>
      <c r="H63" s="337">
        <f t="shared" si="16"/>
        <v>0.22350694770210636</v>
      </c>
      <c r="I63" s="1447">
        <f>SUM(I64:I73)</f>
        <v>251082422528.29376</v>
      </c>
      <c r="J63" s="1397">
        <f t="shared" si="8"/>
        <v>0.23059704147594332</v>
      </c>
      <c r="K63" s="336">
        <f>SUM(K64:K73)</f>
        <v>253905738068.39725</v>
      </c>
      <c r="L63" s="356">
        <f t="shared" si="9"/>
        <v>0.22158731352965427</v>
      </c>
      <c r="M63" s="336">
        <f>SUM(M64:M73)</f>
        <v>367922361295.04559</v>
      </c>
      <c r="N63" s="356">
        <f t="shared" si="10"/>
        <v>0.22661886437011147</v>
      </c>
      <c r="O63" s="336">
        <f>SUM(O64:O73)</f>
        <v>263501671717.31204</v>
      </c>
      <c r="P63" s="356">
        <f t="shared" si="11"/>
        <v>0.2060762795486443</v>
      </c>
      <c r="Q63" s="336">
        <f>SUM(Q64:Q73)</f>
        <v>305437091288.83624</v>
      </c>
      <c r="R63" s="356">
        <f t="shared" si="12"/>
        <v>0.22581060524917435</v>
      </c>
      <c r="S63" s="336">
        <f>SUM(S64:S73)</f>
        <v>167643034069.4386</v>
      </c>
      <c r="T63" s="356">
        <f t="shared" si="13"/>
        <v>0.18652585734742108</v>
      </c>
      <c r="U63" s="336">
        <f>SUM(U64:U73)</f>
        <v>196636840472.93909</v>
      </c>
      <c r="V63" s="361">
        <f t="shared" si="14"/>
        <v>0.23985884384628905</v>
      </c>
    </row>
    <row r="64" spans="1:24">
      <c r="A64" s="386"/>
      <c r="B64" s="212" t="str">
        <f>'17_Resumen_SIM_UF'!B27</f>
        <v>Costos Indirectos de construcción (ventas, gerencia, diseños, intereses, admon…)</v>
      </c>
      <c r="C64" s="1470">
        <f t="shared" si="15"/>
        <v>0.20000000000000004</v>
      </c>
      <c r="D64" s="1471"/>
      <c r="E64" s="1462">
        <f t="shared" si="19"/>
        <v>1823686710876.0393</v>
      </c>
      <c r="F64" s="326"/>
      <c r="G64" s="1448">
        <f>'16_SIM_UF_FINAL'!$BH$9</f>
        <v>182072890354.95416</v>
      </c>
      <c r="H64" s="339">
        <f t="shared" si="16"/>
        <v>0.2</v>
      </c>
      <c r="I64" s="1448">
        <f>'16_SIM_UF_FINAL'!$BH$10</f>
        <v>217767254012.65616</v>
      </c>
      <c r="J64" s="344">
        <f t="shared" ref="J64:L76" si="20">I64/I$47</f>
        <v>0.2</v>
      </c>
      <c r="K64" s="338">
        <f>'16_SIM_UF_FINAL'!$BH$11</f>
        <v>229169923154.84518</v>
      </c>
      <c r="L64" s="357">
        <f t="shared" si="20"/>
        <v>0.2</v>
      </c>
      <c r="M64" s="338">
        <f>'16_SIM_UF_FINAL'!$BH$12</f>
        <v>324705855638.00092</v>
      </c>
      <c r="N64" s="357">
        <f t="shared" ref="N64:N73" si="21">M64/M$47</f>
        <v>0.2</v>
      </c>
      <c r="O64" s="338">
        <f>'16_SIM_UF_FINAL'!$BH$13</f>
        <v>255732170916.94678</v>
      </c>
      <c r="P64" s="357">
        <f t="shared" ref="P64:P73" si="22">O64/O$47</f>
        <v>0.2</v>
      </c>
      <c r="Q64" s="338">
        <f>'16_SIM_UF_FINAL'!$BH$14</f>
        <v>270525018921.76123</v>
      </c>
      <c r="R64" s="357">
        <f t="shared" ref="R64:R73" si="23">Q64/Q$47</f>
        <v>0.2</v>
      </c>
      <c r="S64" s="338">
        <f>'16_SIM_UF_FINAL'!$BH$15</f>
        <v>179753130695.64233</v>
      </c>
      <c r="T64" s="357">
        <f t="shared" ref="T64:T73" si="24">S64/S$47</f>
        <v>0.2</v>
      </c>
      <c r="U64" s="338">
        <f>'16_SIM_UF_FINAL'!$BH$16</f>
        <v>163960467181.23239</v>
      </c>
      <c r="V64" s="362">
        <f t="shared" ref="V64:V73" si="25">U64/U$47</f>
        <v>0.2</v>
      </c>
    </row>
    <row r="65" spans="1:22">
      <c r="A65" s="386"/>
      <c r="B65" s="212" t="str">
        <f>'17_Resumen_SIM_UF'!B28</f>
        <v>Costo Política Protección a Moradores</v>
      </c>
      <c r="C65" s="1470">
        <f t="shared" si="15"/>
        <v>1.4155499298156371E-3</v>
      </c>
      <c r="D65" s="1471"/>
      <c r="E65" s="1462">
        <f t="shared" si="19"/>
        <v>12907597977.931437</v>
      </c>
      <c r="F65" s="326"/>
      <c r="G65" s="1448">
        <f>'16_SIM_UF_FINAL'!$BI9</f>
        <v>0</v>
      </c>
      <c r="H65" s="339">
        <f t="shared" si="16"/>
        <v>0</v>
      </c>
      <c r="I65" s="1448">
        <f>'16_SIM_UF_FINAL'!$BI$10</f>
        <v>463444934.58942008</v>
      </c>
      <c r="J65" s="344">
        <f t="shared" si="20"/>
        <v>4.2563326308232336E-4</v>
      </c>
      <c r="K65" s="338">
        <f>'16_SIM_UF_FINAL'!$BI$11</f>
        <v>828278919.13704014</v>
      </c>
      <c r="L65" s="357">
        <f t="shared" si="20"/>
        <v>7.2285133034441864E-4</v>
      </c>
      <c r="M65" s="338">
        <f>'16_SIM_UF_FINAL'!$BI12</f>
        <v>2596837373.1934199</v>
      </c>
      <c r="N65" s="357">
        <f t="shared" si="21"/>
        <v>1.5995014121879653E-3</v>
      </c>
      <c r="O65" s="338">
        <f>'16_SIM_UF_FINAL'!$BI$13</f>
        <v>0</v>
      </c>
      <c r="P65" s="357">
        <f t="shared" si="22"/>
        <v>0</v>
      </c>
      <c r="Q65" s="338">
        <f>'16_SIM_UF_FINAL'!$BI$14</f>
        <v>140612217.31200001</v>
      </c>
      <c r="R65" s="357">
        <f t="shared" si="23"/>
        <v>1.0395505589275393E-4</v>
      </c>
      <c r="S65" s="338">
        <f>'16_SIM_UF_FINAL'!$BI$15</f>
        <v>0</v>
      </c>
      <c r="T65" s="357">
        <f t="shared" si="24"/>
        <v>0</v>
      </c>
      <c r="U65" s="338">
        <f>'16_SIM_UF_FINAL'!$BI$16</f>
        <v>8878424533.6995564</v>
      </c>
      <c r="V65" s="362">
        <f t="shared" si="25"/>
        <v>1.0829957594455817E-2</v>
      </c>
    </row>
    <row r="66" spans="1:22">
      <c r="A66" s="386"/>
      <c r="B66" s="212" t="str">
        <f>'17_Resumen_SIM_UF'!B29</f>
        <v>Costo Cargas de adecuación</v>
      </c>
      <c r="C66" s="1470">
        <f t="shared" si="15"/>
        <v>1.5153504778746751E-2</v>
      </c>
      <c r="D66" s="1471"/>
      <c r="E66" s="1462">
        <f t="shared" si="19"/>
        <v>138176226440.98502</v>
      </c>
      <c r="F66" s="326"/>
      <c r="G66" s="1448">
        <f>'16_SIM_UF_FINAL'!$BJ$9</f>
        <v>20317955283.753803</v>
      </c>
      <c r="H66" s="339">
        <f t="shared" si="16"/>
        <v>2.2318484914633483E-2</v>
      </c>
      <c r="I66" s="1448">
        <f>'16_SIM_UF_FINAL'!$BJ$10</f>
        <v>7475265822.7276478</v>
      </c>
      <c r="J66" s="344">
        <f t="shared" si="20"/>
        <v>6.8653717994654993E-3</v>
      </c>
      <c r="K66" s="338">
        <f>'16_SIM_UF_FINAL'!$BJ$11</f>
        <v>14389859310.805607</v>
      </c>
      <c r="L66" s="357">
        <f t="shared" si="20"/>
        <v>1.2558244216962703E-2</v>
      </c>
      <c r="M66" s="338">
        <f>'16_SIM_UF_FINAL'!$BJ$12</f>
        <v>26087580305.507439</v>
      </c>
      <c r="N66" s="357">
        <f t="shared" si="21"/>
        <v>1.6068438466715698E-2</v>
      </c>
      <c r="O66" s="338">
        <f>'16_SIM_UF_FINAL'!$BJ$13</f>
        <v>17284606713.641964</v>
      </c>
      <c r="P66" s="357">
        <f t="shared" si="22"/>
        <v>1.3517741355471012E-2</v>
      </c>
      <c r="Q66" s="338">
        <f>'16_SIM_UF_FINAL'!$BJ$14</f>
        <v>22591871946.130657</v>
      </c>
      <c r="R66" s="357">
        <f t="shared" si="23"/>
        <v>1.6702242207523491E-2</v>
      </c>
      <c r="S66" s="338">
        <f>'16_SIM_UF_FINAL'!$BJ$15</f>
        <v>17439703666.18576</v>
      </c>
      <c r="T66" s="357">
        <f t="shared" si="24"/>
        <v>1.9404061112809918E-2</v>
      </c>
      <c r="U66" s="338">
        <f>'16_SIM_UF_FINAL'!$BJ$16</f>
        <v>12589383392.232136</v>
      </c>
      <c r="V66" s="362">
        <f t="shared" si="25"/>
        <v>1.5356608344274309E-2</v>
      </c>
    </row>
    <row r="67" spans="1:22">
      <c r="A67" s="386"/>
      <c r="B67" s="212" t="str">
        <f>'17_Resumen_SIM_UF'!B30</f>
        <v>Costo Formulación</v>
      </c>
      <c r="C67" s="1470">
        <f t="shared" si="15"/>
        <v>1.7546873489377048E-4</v>
      </c>
      <c r="D67" s="1471"/>
      <c r="E67" s="1462">
        <f t="shared" si="19"/>
        <v>1599999999.9999998</v>
      </c>
      <c r="F67" s="326"/>
      <c r="G67" s="1448">
        <f>'16_SIM_UF_FINAL'!$BK$9</f>
        <v>0</v>
      </c>
      <c r="H67" s="339">
        <f t="shared" si="16"/>
        <v>0</v>
      </c>
      <c r="I67" s="1448">
        <f>'16_SIM_UF_FINAL'!$BK$10</f>
        <v>585422153.7604264</v>
      </c>
      <c r="J67" s="344">
        <f t="shared" si="20"/>
        <v>5.3765857168443058E-4</v>
      </c>
      <c r="K67" s="338">
        <f>'16_SIM_UF_FINAL'!$BK$11</f>
        <v>251281793.77574566</v>
      </c>
      <c r="L67" s="357">
        <f t="shared" si="20"/>
        <v>2.1929735832390185E-4</v>
      </c>
      <c r="M67" s="338">
        <f>'16_SIM_UF_FINAL'!$BK$12</f>
        <v>378975832.18871862</v>
      </c>
      <c r="N67" s="357">
        <f t="shared" si="21"/>
        <v>2.3342716221984045E-4</v>
      </c>
      <c r="O67" s="338">
        <f>'16_SIM_UF_FINAL'!$BK$13</f>
        <v>0</v>
      </c>
      <c r="P67" s="357">
        <f t="shared" si="22"/>
        <v>0</v>
      </c>
      <c r="Q67" s="338">
        <f>'16_SIM_UF_FINAL'!$BK$14</f>
        <v>316760413.90930325</v>
      </c>
      <c r="R67" s="357">
        <f t="shared" si="23"/>
        <v>2.3418197338776552E-4</v>
      </c>
      <c r="S67" s="338">
        <f>'16_SIM_UF_FINAL'!$BK$15</f>
        <v>0</v>
      </c>
      <c r="T67" s="357">
        <f t="shared" si="24"/>
        <v>0</v>
      </c>
      <c r="U67" s="338">
        <f>'16_SIM_UF_FINAL'!$BK$16</f>
        <v>67559806.365805775</v>
      </c>
      <c r="V67" s="362">
        <f t="shared" si="25"/>
        <v>8.2409872973988402E-5</v>
      </c>
    </row>
    <row r="68" spans="1:22">
      <c r="A68" s="386"/>
      <c r="B68" s="212" t="str">
        <f>'17_Resumen_SIM_UF'!B31</f>
        <v>Costos Operador Urbano
Renobo</v>
      </c>
      <c r="C68" s="1470">
        <f t="shared" si="15"/>
        <v>9.8701163377745899E-4</v>
      </c>
      <c r="D68" s="1471"/>
      <c r="E68" s="1462">
        <f t="shared" si="19"/>
        <v>8999999999.9999981</v>
      </c>
      <c r="F68" s="326"/>
      <c r="G68" s="1448">
        <f>'16_SIM_UF_FINAL'!$BL$9</f>
        <v>0</v>
      </c>
      <c r="H68" s="339">
        <f t="shared" si="16"/>
        <v>0</v>
      </c>
      <c r="I68" s="1448">
        <f>'16_SIM_UF_FINAL'!$BL$10</f>
        <v>3292999614.9023991</v>
      </c>
      <c r="J68" s="344">
        <f t="shared" si="20"/>
        <v>3.0243294657249222E-3</v>
      </c>
      <c r="K68" s="338">
        <f>'16_SIM_UF_FINAL'!$BL$11</f>
        <v>1413460089.9885697</v>
      </c>
      <c r="L68" s="357">
        <f t="shared" si="20"/>
        <v>1.2335476405719483E-3</v>
      </c>
      <c r="M68" s="338">
        <f>'16_SIM_UF_FINAL'!$BL$12</f>
        <v>2131739056.0615425</v>
      </c>
      <c r="N68" s="357">
        <f t="shared" si="21"/>
        <v>1.3130277874866027E-3</v>
      </c>
      <c r="O68" s="338">
        <f>'16_SIM_UF_FINAL'!$BL$13</f>
        <v>0</v>
      </c>
      <c r="P68" s="357">
        <f t="shared" si="22"/>
        <v>0</v>
      </c>
      <c r="Q68" s="338">
        <f>'16_SIM_UF_FINAL'!$BL$14</f>
        <v>1781777328.239831</v>
      </c>
      <c r="R68" s="357">
        <f t="shared" si="23"/>
        <v>1.3172736003061812E-3</v>
      </c>
      <c r="S68" s="338">
        <f>'16_SIM_UF_FINAL'!$BL$15</f>
        <v>0</v>
      </c>
      <c r="T68" s="357">
        <f t="shared" si="24"/>
        <v>0</v>
      </c>
      <c r="U68" s="338">
        <f>'16_SIM_UF_FINAL'!$BL$16</f>
        <v>380023910.80765754</v>
      </c>
      <c r="V68" s="362">
        <f t="shared" si="25"/>
        <v>4.6355553547868487E-4</v>
      </c>
    </row>
    <row r="69" spans="1:22">
      <c r="A69" s="386"/>
      <c r="B69" s="212" t="str">
        <f>'17_Resumen_SIM_UF'!B32</f>
        <v>Redes SSPP Local</v>
      </c>
      <c r="C69" s="1470">
        <f t="shared" si="15"/>
        <v>2.6574086342217593E-3</v>
      </c>
      <c r="D69" s="1471"/>
      <c r="E69" s="1462">
        <f t="shared" si="19"/>
        <v>24231404057.987335</v>
      </c>
      <c r="F69" s="326"/>
      <c r="G69" s="1448">
        <f>'16_SIM_UF_FINAL'!$BM$9</f>
        <v>0</v>
      </c>
      <c r="H69" s="339">
        <f t="shared" si="16"/>
        <v>0</v>
      </c>
      <c r="I69" s="1448">
        <f>'16_SIM_UF_FINAL'!$BM$10</f>
        <v>8866000470.1663036</v>
      </c>
      <c r="J69" s="344">
        <f t="shared" si="20"/>
        <v>8.142638809828618E-3</v>
      </c>
      <c r="K69" s="338">
        <f>'16_SIM_UF_FINAL'!$BM$11</f>
        <v>3805569173.3724632</v>
      </c>
      <c r="L69" s="357">
        <f t="shared" si="20"/>
        <v>3.321176811497312E-3</v>
      </c>
      <c r="M69" s="338">
        <f>'16_SIM_UF_FINAL'!$BM$12</f>
        <v>5739447823.735528</v>
      </c>
      <c r="N69" s="357">
        <f t="shared" si="21"/>
        <v>3.5351674286614441E-3</v>
      </c>
      <c r="O69" s="338">
        <f>'16_SIM_UF_FINAL'!$BM$13</f>
        <v>0</v>
      </c>
      <c r="P69" s="357">
        <f t="shared" si="22"/>
        <v>0</v>
      </c>
      <c r="Q69" s="338">
        <f>'16_SIM_UF_FINAL'!$BM$14</f>
        <v>4797218486.8822746</v>
      </c>
      <c r="R69" s="357">
        <f t="shared" si="23"/>
        <v>3.5465987626598647E-3</v>
      </c>
      <c r="S69" s="338">
        <f>'16_SIM_UF_FINAL'!$BM$15</f>
        <v>0</v>
      </c>
      <c r="T69" s="357">
        <f t="shared" si="24"/>
        <v>0</v>
      </c>
      <c r="U69" s="338">
        <f>'16_SIM_UF_FINAL'!$BM$16</f>
        <v>1023168103.8307656</v>
      </c>
      <c r="V69" s="362">
        <f t="shared" si="25"/>
        <v>1.2480668315000775E-3</v>
      </c>
    </row>
    <row r="70" spans="1:22">
      <c r="A70" s="386"/>
      <c r="B70" s="212" t="str">
        <f>'17_Resumen_SIM_UF'!B33</f>
        <v>Pagan compensación por carga fija</v>
      </c>
      <c r="C70" s="1470">
        <f t="shared" si="15"/>
        <v>4.4477452663932776E-3</v>
      </c>
      <c r="D70" s="1471"/>
      <c r="E70" s="1462">
        <f t="shared" si="19"/>
        <v>40556469678.416145</v>
      </c>
      <c r="F70" s="326"/>
      <c r="G70" s="1448">
        <f>'16_SIM_UF_FINAL'!$BN$9</f>
        <v>0</v>
      </c>
      <c r="H70" s="339">
        <f t="shared" si="16"/>
        <v>0</v>
      </c>
      <c r="I70" s="1448">
        <f>'16_SIM_UF_FINAL'!$BN$10</f>
        <v>14839159892.536135</v>
      </c>
      <c r="J70" s="344">
        <f t="shared" si="20"/>
        <v>1.3628458474912591E-2</v>
      </c>
      <c r="K70" s="338">
        <f>'16_SIM_UF_FINAL'!$BN$11</f>
        <v>6369439031.252532</v>
      </c>
      <c r="L70" s="357">
        <f t="shared" si="20"/>
        <v>5.5587041646375556E-3</v>
      </c>
      <c r="M70" s="338">
        <f>'16_SIM_UF_FINAL'!$BN$12</f>
        <v>9606201154.3839359</v>
      </c>
      <c r="N70" s="357">
        <f t="shared" si="21"/>
        <v>5.9168635166798053E-3</v>
      </c>
      <c r="O70" s="338">
        <f>'16_SIM_UF_FINAL'!$BN$13</f>
        <v>0</v>
      </c>
      <c r="P70" s="357">
        <f t="shared" si="22"/>
        <v>0</v>
      </c>
      <c r="Q70" s="338">
        <f>'16_SIM_UF_FINAL'!$BN$14</f>
        <v>8029177576.272006</v>
      </c>
      <c r="R70" s="357">
        <f t="shared" si="23"/>
        <v>5.9359963143328573E-3</v>
      </c>
      <c r="S70" s="338">
        <f>'16_SIM_UF_FINAL'!$BN$15</f>
        <v>0</v>
      </c>
      <c r="T70" s="357">
        <f t="shared" si="24"/>
        <v>0</v>
      </c>
      <c r="U70" s="338">
        <f>'16_SIM_UF_FINAL'!$BN$16</f>
        <v>1712492023.9715431</v>
      </c>
      <c r="V70" s="362">
        <f t="shared" si="25"/>
        <v>2.088908446544805E-3</v>
      </c>
    </row>
    <row r="71" spans="1:22">
      <c r="A71" s="386"/>
      <c r="B71" s="1394" t="str">
        <f>'17_Resumen_SIM_UF'!B34</f>
        <v>Reciben compensación por carga fija</v>
      </c>
      <c r="C71" s="1497">
        <f t="shared" si="15"/>
        <v>-3.0274612525755277E-3</v>
      </c>
      <c r="D71" s="1498"/>
      <c r="E71" s="1463">
        <f>SUM(G72,I71,K71,M71,O71,Q71,S71,U71)</f>
        <v>-27605704270.070587</v>
      </c>
      <c r="F71" s="326"/>
      <c r="G71" s="1448">
        <f>'16_SIM_UF_FINAL'!$BO$9</f>
        <v>-5934415567.1865692</v>
      </c>
      <c r="H71" s="339">
        <f t="shared" si="16"/>
        <v>-6.5187250618335621E-3</v>
      </c>
      <c r="I71" s="1448">
        <f>'16_SIM_UF_FINAL'!$BO$10</f>
        <v>0</v>
      </c>
      <c r="J71" s="344"/>
      <c r="K71" s="338">
        <f>'16_SIM_UF_FINAL'!$BO$11</f>
        <v>0</v>
      </c>
      <c r="L71" s="357">
        <f t="shared" si="20"/>
        <v>0</v>
      </c>
      <c r="M71" s="338">
        <f>'16_SIM_UF_FINAL'!$BO$12</f>
        <v>0</v>
      </c>
      <c r="N71" s="357">
        <f t="shared" si="21"/>
        <v>0</v>
      </c>
      <c r="O71" s="338">
        <f>'16_SIM_UF_FINAL'!$BO$13</f>
        <v>-6922613112.9122162</v>
      </c>
      <c r="P71" s="357">
        <f t="shared" si="22"/>
        <v>-5.4139556146500225E-3</v>
      </c>
      <c r="Q71" s="338">
        <f>'16_SIM_UF_FINAL'!$BO$14</f>
        <v>0</v>
      </c>
      <c r="R71" s="357">
        <f t="shared" si="23"/>
        <v>0</v>
      </c>
      <c r="S71" s="338">
        <f>'16_SIM_UF_FINAL'!$BO$15</f>
        <v>-27699440998.317368</v>
      </c>
      <c r="T71" s="357">
        <f t="shared" si="24"/>
        <v>-3.0819425387608974E-2</v>
      </c>
      <c r="U71" s="338">
        <f>'16_SIM_UF_FINAL'!$BO$16</f>
        <v>0</v>
      </c>
      <c r="V71" s="362">
        <f t="shared" si="25"/>
        <v>0</v>
      </c>
    </row>
    <row r="72" spans="1:22">
      <c r="A72" s="386"/>
      <c r="B72" s="1394" t="str">
        <f>'17_Resumen_SIM_UF'!B35</f>
        <v>Pagan obligación VIS / VIP en dinero</v>
      </c>
      <c r="C72" s="1497">
        <f t="shared" ref="C72:C73" si="26">E72/$E$47</f>
        <v>8.801206339814901E-4</v>
      </c>
      <c r="D72" s="1498"/>
      <c r="E72" s="1463">
        <f>SUM(G73,I72,K72,M72,O72,Q72,S72,U72)</f>
        <v>8025321520.7991896</v>
      </c>
      <c r="F72" s="326"/>
      <c r="G72" s="1448">
        <f>'16_SIM_UF_FINAL'!$BP$9</f>
        <v>7016349841.1589966</v>
      </c>
      <c r="H72" s="339">
        <f t="shared" si="16"/>
        <v>7.7071878493064011E-3</v>
      </c>
      <c r="I72" s="1448">
        <f>'16_SIM_UF_FINAL'!$BP$10</f>
        <v>0</v>
      </c>
      <c r="J72" s="344"/>
      <c r="K72" s="338">
        <f>'16_SIM_UF_FINAL'!$BP$11</f>
        <v>0</v>
      </c>
      <c r="L72" s="357">
        <f t="shared" si="20"/>
        <v>0</v>
      </c>
      <c r="M72" s="338">
        <f>'16_SIM_UF_FINAL'!$BP$12</f>
        <v>0</v>
      </c>
      <c r="N72" s="357">
        <f t="shared" si="21"/>
        <v>0</v>
      </c>
      <c r="O72" s="338">
        <f>'16_SIM_UF_FINAL'!$BP$13</f>
        <v>0</v>
      </c>
      <c r="P72" s="357">
        <f t="shared" si="22"/>
        <v>0</v>
      </c>
      <c r="Q72" s="338">
        <f>'16_SIM_UF_FINAL'!$BP$14</f>
        <v>0</v>
      </c>
      <c r="R72" s="357">
        <f t="shared" si="23"/>
        <v>0</v>
      </c>
      <c r="S72" s="338">
        <f>'16_SIM_UF_FINAL'!$BP$15</f>
        <v>0</v>
      </c>
      <c r="T72" s="357">
        <f t="shared" si="24"/>
        <v>0</v>
      </c>
      <c r="U72" s="338">
        <f>'16_SIM_UF_FINAL'!$BP$16</f>
        <v>8025321520.7991896</v>
      </c>
      <c r="V72" s="362">
        <f t="shared" si="25"/>
        <v>9.7893372210612999E-3</v>
      </c>
    </row>
    <row r="73" spans="1:22">
      <c r="A73" s="386"/>
      <c r="B73" s="1394" t="str">
        <f>'17_Resumen_SIM_UF'!B36</f>
        <v>Reciben obligación VIS / VIP en dinero</v>
      </c>
      <c r="C73" s="1497">
        <f t="shared" si="26"/>
        <v>-1.6495894028566648E-3</v>
      </c>
      <c r="D73" s="1498"/>
      <c r="E73" s="1463">
        <f>SUM(G74,I73,K73,M73,O73,Q73,S73,U73)</f>
        <v>-15041671361.958202</v>
      </c>
      <c r="F73" s="326"/>
      <c r="G73" s="1448">
        <f>'16_SIM_UF_FINAL'!$BQ$9</f>
        <v>0</v>
      </c>
      <c r="H73" s="339">
        <f t="shared" si="16"/>
        <v>0</v>
      </c>
      <c r="I73" s="1448">
        <f>'16_SIM_UF_FINAL'!$BQ$10</f>
        <v>-2207124373.0447302</v>
      </c>
      <c r="J73" s="344"/>
      <c r="K73" s="338">
        <f>'16_SIM_UF_FINAL'!$BQ$11</f>
        <v>-2322073404.7799182</v>
      </c>
      <c r="L73" s="357">
        <f t="shared" si="20"/>
        <v>-2.0265079926836153E-3</v>
      </c>
      <c r="M73" s="338">
        <f>'16_SIM_UF_FINAL'!$BQ$12</f>
        <v>-3324275888.0258799</v>
      </c>
      <c r="N73" s="357">
        <f t="shared" si="21"/>
        <v>-2.0475614038398845E-3</v>
      </c>
      <c r="O73" s="338">
        <f>'16_SIM_UF_FINAL'!$BQ$13</f>
        <v>-2592492800.3644633</v>
      </c>
      <c r="P73" s="357">
        <f t="shared" si="22"/>
        <v>-2.0275061921766722E-3</v>
      </c>
      <c r="Q73" s="338">
        <f>'16_SIM_UF_FINAL'!$BQ$14</f>
        <v>-2745345601.6710677</v>
      </c>
      <c r="R73" s="357">
        <f t="shared" si="23"/>
        <v>-2.0296426649285635E-3</v>
      </c>
      <c r="S73" s="338">
        <f>'16_SIM_UF_FINAL'!$BQ$15</f>
        <v>-1850359294.072144</v>
      </c>
      <c r="T73" s="357">
        <f t="shared" si="24"/>
        <v>-2.0587783777798775E-3</v>
      </c>
      <c r="U73" s="338">
        <f>'16_SIM_UF_FINAL'!$BQ$16</f>
        <v>0</v>
      </c>
      <c r="V73" s="362">
        <f t="shared" si="25"/>
        <v>0</v>
      </c>
    </row>
    <row r="74" spans="1:22">
      <c r="A74" s="386"/>
      <c r="B74" s="1394"/>
      <c r="C74" s="1395"/>
      <c r="D74" s="1396"/>
      <c r="E74" s="1463"/>
      <c r="F74" s="326"/>
      <c r="G74" s="1448"/>
      <c r="H74" s="344"/>
      <c r="I74" s="1448"/>
      <c r="J74" s="344"/>
      <c r="K74" s="338"/>
      <c r="L74" s="357"/>
      <c r="M74" s="338"/>
      <c r="N74" s="357"/>
      <c r="O74" s="338"/>
      <c r="P74" s="357"/>
      <c r="Q74" s="338"/>
      <c r="R74" s="357"/>
      <c r="S74" s="390"/>
      <c r="T74" s="357"/>
      <c r="U74" s="338"/>
      <c r="V74" s="362"/>
    </row>
    <row r="75" spans="1:22" s="219" customFormat="1">
      <c r="A75" s="385">
        <v>8</v>
      </c>
      <c r="B75" s="205" t="str">
        <f>'16_SIM_UF_FINAL'!BW1</f>
        <v>UTILIDAD (U)</v>
      </c>
      <c r="C75" s="1491">
        <f t="shared" si="15"/>
        <v>9.5449720536748814E-2</v>
      </c>
      <c r="D75" s="1492"/>
      <c r="E75" s="1461">
        <f t="shared" si="19"/>
        <v>870351934498.50281</v>
      </c>
      <c r="F75" s="327"/>
      <c r="G75" s="1447">
        <f>'16_SIM_UF_FINAL'!$CE9</f>
        <v>81221800659.72937</v>
      </c>
      <c r="H75" s="337">
        <f t="shared" ref="H75:H76" si="27">G75/$G$47</f>
        <v>8.9218994108772709E-2</v>
      </c>
      <c r="I75" s="1447">
        <f>'16_SIM_UF_FINAL'!$CE10</f>
        <v>105607420684.97797</v>
      </c>
      <c r="J75" s="337">
        <f t="shared" si="20"/>
        <v>9.699109369202065E-2</v>
      </c>
      <c r="K75" s="336">
        <f>'16_SIM_UF_FINAL'!$CE11</f>
        <v>111121613169.69403</v>
      </c>
      <c r="L75" s="356">
        <f t="shared" si="20"/>
        <v>9.6977484339959882E-2</v>
      </c>
      <c r="M75" s="336">
        <f>'16_SIM_UF_FINAL'!$CE12</f>
        <v>157526037757.64474</v>
      </c>
      <c r="N75" s="356">
        <f t="shared" ref="N75" si="28">M75/M$47</f>
        <v>9.7026915297310209E-2</v>
      </c>
      <c r="O75" s="336">
        <f>'16_SIM_UF_FINAL'!$CE13</f>
        <v>124022111278.94098</v>
      </c>
      <c r="P75" s="356">
        <f t="shared" ref="P75" si="29">O75/O$47</f>
        <v>9.6993750011389213E-2</v>
      </c>
      <c r="Q75" s="336">
        <f>'16_SIM_UF_FINAL'!$CE14</f>
        <v>131123663479.94264</v>
      </c>
      <c r="R75" s="356">
        <f t="shared" ref="R75" si="30">Q75/Q$47</f>
        <v>9.6940138108161475E-2</v>
      </c>
      <c r="S75" s="336">
        <f>'16_SIM_UF_FINAL'!$CE15</f>
        <v>86757077236.018585</v>
      </c>
      <c r="T75" s="356">
        <f t="shared" ref="T75" si="31">S75/S$47</f>
        <v>9.6529141829429954E-2</v>
      </c>
      <c r="U75" s="336">
        <f>'16_SIM_UF_FINAL'!$CE16</f>
        <v>72972210231.554565</v>
      </c>
      <c r="V75" s="361">
        <f t="shared" ref="V75" si="32">U75/U$47</f>
        <v>8.9011956950446267E-2</v>
      </c>
    </row>
    <row r="76" spans="1:22" s="219" customFormat="1" ht="10.9" thickBot="1">
      <c r="A76" s="388">
        <v>9</v>
      </c>
      <c r="B76" s="389" t="str">
        <f>'16_SIM_UF_FINAL'!CK1</f>
        <v>VALOR RESIDUAL LOTE</v>
      </c>
      <c r="C76" s="1495">
        <f t="shared" si="15"/>
        <v>0.11995034596795748</v>
      </c>
      <c r="D76" s="1496"/>
      <c r="E76" s="1464">
        <f t="shared" si="19"/>
        <v>1093759259533.7367</v>
      </c>
      <c r="F76" s="327"/>
      <c r="G76" s="1449">
        <f>'16_SIM_UF_FINAL'!$CL9</f>
        <v>165434112878.43744</v>
      </c>
      <c r="H76" s="341">
        <f t="shared" si="27"/>
        <v>0.18172294904081643</v>
      </c>
      <c r="I76" s="1449">
        <f>'16_SIM_UF_FINAL'!$CL10</f>
        <v>103762214134.093</v>
      </c>
      <c r="J76" s="341">
        <f t="shared" si="20"/>
        <v>9.5296434355610304E-2</v>
      </c>
      <c r="K76" s="340">
        <f>'16_SIM_UF_FINAL'!$CL11</f>
        <v>119631148114.2771</v>
      </c>
      <c r="L76" s="358">
        <f t="shared" si="20"/>
        <v>0.10440388203424489</v>
      </c>
      <c r="M76" s="340">
        <f>'16_SIM_UF_FINAL'!$CL12</f>
        <v>156892288605.77533</v>
      </c>
      <c r="N76" s="358">
        <f t="shared" ref="N76" si="33">M76/M$47</f>
        <v>9.6636562526723924E-2</v>
      </c>
      <c r="O76" s="340">
        <f>'16_SIM_UF_FINAL'!$CL13</f>
        <v>153196733679.7171</v>
      </c>
      <c r="P76" s="358">
        <f t="shared" ref="P76" si="34">O76/O$47</f>
        <v>0.11981029459877401</v>
      </c>
      <c r="Q76" s="340">
        <f>'16_SIM_UF_FINAL'!$CL14</f>
        <v>136190632951.9693</v>
      </c>
      <c r="R76" s="358">
        <f t="shared" ref="R76" si="35">Q76/Q$47</f>
        <v>0.10068616462520763</v>
      </c>
      <c r="S76" s="340">
        <f>'16_SIM_UF_FINAL'!$CL15</f>
        <v>130180539886.73711</v>
      </c>
      <c r="T76" s="358">
        <f t="shared" ref="T76" si="36">S76/S$47</f>
        <v>0.1448436968891057</v>
      </c>
      <c r="U76" s="340">
        <f>'16_SIM_UF_FINAL'!$CL16</f>
        <v>128471589282.73039</v>
      </c>
      <c r="V76" s="363">
        <f t="shared" ref="V76" si="37">U76/U$47</f>
        <v>0.15671044550114066</v>
      </c>
    </row>
  </sheetData>
  <mergeCells count="62">
    <mergeCell ref="C61:D61"/>
    <mergeCell ref="C62:D62"/>
    <mergeCell ref="C73:D73"/>
    <mergeCell ref="U1:V1"/>
    <mergeCell ref="I1:J1"/>
    <mergeCell ref="K1:L1"/>
    <mergeCell ref="M1:N1"/>
    <mergeCell ref="O1:P1"/>
    <mergeCell ref="Q1:R1"/>
    <mergeCell ref="S1:T1"/>
    <mergeCell ref="C68:D68"/>
    <mergeCell ref="C69:D69"/>
    <mergeCell ref="C70:D70"/>
    <mergeCell ref="C54:D54"/>
    <mergeCell ref="C55:D55"/>
    <mergeCell ref="C66:D66"/>
    <mergeCell ref="C75:D75"/>
    <mergeCell ref="C76:D76"/>
    <mergeCell ref="C71:D71"/>
    <mergeCell ref="C72:D72"/>
    <mergeCell ref="G1:H1"/>
    <mergeCell ref="C47:D47"/>
    <mergeCell ref="C58:D58"/>
    <mergeCell ref="C64:D64"/>
    <mergeCell ref="C65:D65"/>
    <mergeCell ref="C48:D48"/>
    <mergeCell ref="C57:D57"/>
    <mergeCell ref="C49:D49"/>
    <mergeCell ref="C50:D50"/>
    <mergeCell ref="C51:D51"/>
    <mergeCell ref="C52:D52"/>
    <mergeCell ref="C53:D53"/>
    <mergeCell ref="C67:D67"/>
    <mergeCell ref="E33:E34"/>
    <mergeCell ref="C33:D34"/>
    <mergeCell ref="C37:D37"/>
    <mergeCell ref="C63:D63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60:D60"/>
    <mergeCell ref="C59:D59"/>
    <mergeCell ref="S33:T33"/>
    <mergeCell ref="U33:V33"/>
    <mergeCell ref="G33:H33"/>
    <mergeCell ref="I33:J33"/>
    <mergeCell ref="K33:L33"/>
    <mergeCell ref="M33:N33"/>
    <mergeCell ref="O33:P33"/>
    <mergeCell ref="Q33:R33"/>
    <mergeCell ref="C56:D56"/>
    <mergeCell ref="A1:A2"/>
    <mergeCell ref="C1:D1"/>
    <mergeCell ref="A33:B34"/>
    <mergeCell ref="C35:D35"/>
    <mergeCell ref="C36:D36"/>
  </mergeCells>
  <phoneticPr fontId="43" type="noConversion"/>
  <pageMargins left="0.7" right="0.7" top="0.75" bottom="0.75" header="0.3" footer="0.3"/>
  <pageSetup orientation="portrait" horizontalDpi="1200" verticalDpi="1200" r:id="rId1"/>
  <ignoredErrors>
    <ignoredError sqref="E20:E29 H47 E14:E16 K58 K75:K76 M75:M76 I47:J47 K47:L47 M47:N47 O47:P47 Q47:R47 S47:U47 E47 O75:U76 R63:R64 H63 E58 J63 K48:K57 K59:K62 M58 M48:M57 M59:M73 K63:K70 O64:O73 Q64:Q73 S64:S73 U64:U73 O58 O48:O57 O59:O62 P63 N63:O63 L63 Q58 Q48:Q57 Q59:Q63 T63 S58 S48:S57 S59:S62 U58 U48:U57 U59:U62" formula="1"/>
    <ignoredError sqref="E17:E19" formula="1" formulaRange="1"/>
  </ignoredErrors>
</worksheet>
</file>

<file path=docMetadata/LabelInfo.xml><?xml version="1.0" encoding="utf-8"?>
<clbl:labelList xmlns:clbl="http://schemas.microsoft.com/office/2020/mipLabelMetadata">
  <clbl:label id="{ae525757-89ba-4d30-a2f7-49796ef8c604}" enabled="0" method="" siteId="{ae525757-89ba-4d30-a2f7-49796ef8c60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Javier Garcia</dc:creator>
  <cp:keywords/>
  <dc:description/>
  <cp:lastModifiedBy/>
  <cp:revision/>
  <dcterms:created xsi:type="dcterms:W3CDTF">2025-08-23T16:10:09Z</dcterms:created>
  <dcterms:modified xsi:type="dcterms:W3CDTF">2026-05-29T13:06:43Z</dcterms:modified>
  <cp:category/>
  <cp:contentStatus/>
</cp:coreProperties>
</file>