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5130"/>
  </bookViews>
  <sheets>
    <sheet name="Flujo de caja del proyecto" sheetId="1" r:id="rId1"/>
    <sheet name="Resumen de escenario CUB" sheetId="6" r:id="rId2"/>
    <sheet name="Deflactado" sheetId="2" r:id="rId3"/>
    <sheet name="Hoja3" sheetId="3" r:id="rId4"/>
  </sheets>
  <definedNames>
    <definedName name="BC">'Flujo de caja del proyecto'!$T$50</definedName>
    <definedName name="CANTIDAD">'Flujo de caja del proyecto'!$C$32</definedName>
    <definedName name="CAUE">'Flujo de caja del proyecto'!$T$49</definedName>
    <definedName name="CF">'Flujo de caja del proyecto'!$C$42</definedName>
    <definedName name="CV">'Flujo de caja del proyecto'!$C$38</definedName>
    <definedName name="PRECIO">'Flujo de caja del proyecto'!$C$33</definedName>
    <definedName name="TIR">'Flujo de caja del proyecto'!$T$51</definedName>
    <definedName name="TIRM">'Flujo de caja del proyecto'!$T$52</definedName>
    <definedName name="VPN">'Flujo de caja del proyecto'!$T$48</definedName>
  </definedNames>
  <calcPr calcId="125725"/>
</workbook>
</file>

<file path=xl/calcChain.xml><?xml version="1.0" encoding="utf-8"?>
<calcChain xmlns="http://schemas.openxmlformats.org/spreadsheetml/2006/main">
  <c r="T96" i="1"/>
  <c r="T105"/>
  <c r="T104" s="1"/>
  <c r="T103" s="1"/>
  <c r="T102" s="1"/>
  <c r="T97"/>
  <c r="W105"/>
  <c r="W104" s="1"/>
  <c r="W103" s="1"/>
  <c r="W102" s="1"/>
  <c r="S105"/>
  <c r="S104" s="1"/>
  <c r="S103" s="1"/>
  <c r="S102" s="1"/>
  <c r="T98"/>
  <c r="V105" s="1"/>
  <c r="W69"/>
  <c r="V79"/>
  <c r="V80"/>
  <c r="V81"/>
  <c r="V82"/>
  <c r="V83"/>
  <c r="V84"/>
  <c r="V85"/>
  <c r="V86"/>
  <c r="V78"/>
  <c r="U82"/>
  <c r="U83"/>
  <c r="U84"/>
  <c r="U85"/>
  <c r="U86"/>
  <c r="T79"/>
  <c r="T80"/>
  <c r="T81"/>
  <c r="T82"/>
  <c r="T83"/>
  <c r="T84"/>
  <c r="T85"/>
  <c r="T86"/>
  <c r="T78"/>
  <c r="S79"/>
  <c r="S80"/>
  <c r="S81"/>
  <c r="S82"/>
  <c r="S83"/>
  <c r="S84"/>
  <c r="S85"/>
  <c r="S86"/>
  <c r="S78"/>
  <c r="H12" i="6"/>
  <c r="H13"/>
  <c r="H14"/>
  <c r="H15"/>
  <c r="H11"/>
  <c r="J34" i="1"/>
  <c r="T88"/>
  <c r="V88"/>
  <c r="S88"/>
  <c r="Y71"/>
  <c r="Y72" s="1"/>
  <c r="Y73" s="1"/>
  <c r="Y74" s="1"/>
  <c r="W71"/>
  <c r="W72" s="1"/>
  <c r="W73" s="1"/>
  <c r="W74" s="1"/>
  <c r="U71"/>
  <c r="U72" s="1"/>
  <c r="U73" s="1"/>
  <c r="U74" s="1"/>
  <c r="S71"/>
  <c r="S72" s="1"/>
  <c r="S73" s="1"/>
  <c r="S74" s="1"/>
  <c r="Y69"/>
  <c r="Y68"/>
  <c r="Y67"/>
  <c r="Y66"/>
  <c r="W68"/>
  <c r="W67"/>
  <c r="W66"/>
  <c r="U69"/>
  <c r="U68"/>
  <c r="U67"/>
  <c r="U66"/>
  <c r="C21"/>
  <c r="T28"/>
  <c r="T24"/>
  <c r="J53"/>
  <c r="K50"/>
  <c r="T4"/>
  <c r="T6"/>
  <c r="K39"/>
  <c r="L39" s="1"/>
  <c r="M39" s="1"/>
  <c r="N39" s="1"/>
  <c r="O39" s="1"/>
  <c r="K38"/>
  <c r="K44" s="1"/>
  <c r="T20"/>
  <c r="J32"/>
  <c r="K25"/>
  <c r="L25"/>
  <c r="M25"/>
  <c r="N25"/>
  <c r="O25"/>
  <c r="J25"/>
  <c r="L20"/>
  <c r="L8"/>
  <c r="M8"/>
  <c r="N8"/>
  <c r="O8"/>
  <c r="L6"/>
  <c r="M6"/>
  <c r="N6"/>
  <c r="O6"/>
  <c r="L4"/>
  <c r="M4"/>
  <c r="N4"/>
  <c r="O4"/>
  <c r="L10"/>
  <c r="V8" s="1"/>
  <c r="M10"/>
  <c r="W8" s="1"/>
  <c r="N10"/>
  <c r="X8" s="1"/>
  <c r="O10"/>
  <c r="Y8" s="1"/>
  <c r="J10"/>
  <c r="T8" s="1"/>
  <c r="K41"/>
  <c r="U4" s="1"/>
  <c r="S69"/>
  <c r="S68" s="1"/>
  <c r="S67" s="1"/>
  <c r="S66" s="1"/>
  <c r="J18"/>
  <c r="K19" s="1"/>
  <c r="K32" s="1"/>
  <c r="K8"/>
  <c r="K6"/>
  <c r="K4"/>
  <c r="K10" s="1"/>
  <c r="U8" s="1"/>
  <c r="C55"/>
  <c r="T99" l="1"/>
  <c r="W106"/>
  <c r="W107" s="1"/>
  <c r="W108" s="1"/>
  <c r="T106"/>
  <c r="S106"/>
  <c r="S107" s="1"/>
  <c r="S108" s="1"/>
  <c r="X105"/>
  <c r="Y105" s="1"/>
  <c r="U105"/>
  <c r="U104"/>
  <c r="U103" s="1"/>
  <c r="U102" s="1"/>
  <c r="U106"/>
  <c r="U107" s="1"/>
  <c r="U108" s="1"/>
  <c r="T11"/>
  <c r="T13" s="1"/>
  <c r="T18"/>
  <c r="L45"/>
  <c r="M45" s="1"/>
  <c r="N45" s="1"/>
  <c r="O45" s="1"/>
  <c r="K47"/>
  <c r="L50"/>
  <c r="M50" s="1"/>
  <c r="N50" s="1"/>
  <c r="O50" s="1"/>
  <c r="K53"/>
  <c r="K20"/>
  <c r="O20"/>
  <c r="N20"/>
  <c r="M20"/>
  <c r="U6"/>
  <c r="U11" s="1"/>
  <c r="L38"/>
  <c r="Y18"/>
  <c r="Y32" s="1"/>
  <c r="X18"/>
  <c r="W18"/>
  <c r="V18"/>
  <c r="U18"/>
  <c r="T15"/>
  <c r="T22" s="1"/>
  <c r="K21"/>
  <c r="K34" s="1"/>
  <c r="T107" l="1"/>
  <c r="T108" s="1"/>
  <c r="T26"/>
  <c r="K18"/>
  <c r="U20"/>
  <c r="U13"/>
  <c r="U15"/>
  <c r="U22" s="1"/>
  <c r="L44"/>
  <c r="L47" s="1"/>
  <c r="L53" s="1"/>
  <c r="M38"/>
  <c r="L41"/>
  <c r="V4" s="1"/>
  <c r="T30"/>
  <c r="V6"/>
  <c r="V11" s="1"/>
  <c r="L19"/>
  <c r="T38" l="1"/>
  <c r="C7" i="2" s="1"/>
  <c r="I7" s="1"/>
  <c r="X106" i="1"/>
  <c r="X104"/>
  <c r="L32"/>
  <c r="L21"/>
  <c r="L34" s="1"/>
  <c r="M44"/>
  <c r="M47" s="1"/>
  <c r="M53" s="1"/>
  <c r="N38"/>
  <c r="M41"/>
  <c r="W4" s="1"/>
  <c r="V13"/>
  <c r="V15"/>
  <c r="X103" l="1"/>
  <c r="Y104"/>
  <c r="X107"/>
  <c r="Y106"/>
  <c r="U26"/>
  <c r="V20"/>
  <c r="L18"/>
  <c r="V22"/>
  <c r="N44"/>
  <c r="N47" s="1"/>
  <c r="N53" s="1"/>
  <c r="O38"/>
  <c r="N41"/>
  <c r="X4" s="1"/>
  <c r="W6"/>
  <c r="W11" s="1"/>
  <c r="X102" l="1"/>
  <c r="Y102" s="1"/>
  <c r="Y103"/>
  <c r="X108"/>
  <c r="Y108" s="1"/>
  <c r="Y107"/>
  <c r="U30"/>
  <c r="M19"/>
  <c r="W13"/>
  <c r="W15"/>
  <c r="O44"/>
  <c r="O47" s="1"/>
  <c r="O53" s="1"/>
  <c r="O41"/>
  <c r="Y4" s="1"/>
  <c r="X6"/>
  <c r="X11" s="1"/>
  <c r="U38" l="1"/>
  <c r="C8" i="2" s="1"/>
  <c r="H8" s="1"/>
  <c r="I8" s="1"/>
  <c r="M21" i="1"/>
  <c r="M34" s="1"/>
  <c r="M32"/>
  <c r="X13"/>
  <c r="X15"/>
  <c r="Y6"/>
  <c r="Y11" s="1"/>
  <c r="W20" l="1"/>
  <c r="W22" s="1"/>
  <c r="M18"/>
  <c r="Y13"/>
  <c r="Y15"/>
  <c r="V26" l="1"/>
  <c r="N19"/>
  <c r="V30" l="1"/>
  <c r="N21"/>
  <c r="N34" s="1"/>
  <c r="N32"/>
  <c r="V38" l="1"/>
  <c r="C9" i="2" s="1"/>
  <c r="G9" s="1"/>
  <c r="I9" s="1"/>
  <c r="W26" i="1"/>
  <c r="X20"/>
  <c r="X22" s="1"/>
  <c r="N18"/>
  <c r="O19" l="1"/>
  <c r="W30"/>
  <c r="W38" l="1"/>
  <c r="C10" i="2" s="1"/>
  <c r="F10" s="1"/>
  <c r="I10" s="1"/>
  <c r="O21" i="1"/>
  <c r="O34" s="1"/>
  <c r="O32"/>
  <c r="Y26" l="1"/>
  <c r="X26"/>
  <c r="Y20"/>
  <c r="Y22" s="1"/>
  <c r="O18"/>
  <c r="Y34" s="1"/>
  <c r="Y30" l="1"/>
  <c r="Y38" s="1"/>
  <c r="C12" i="2" s="1"/>
  <c r="D12" s="1"/>
  <c r="I12" s="1"/>
  <c r="X30" i="1"/>
  <c r="X38" l="1"/>
  <c r="C11" i="2" l="1"/>
  <c r="E11" s="1"/>
  <c r="I11" s="1"/>
  <c r="T48" i="1"/>
  <c r="T51"/>
  <c r="U80" s="1"/>
  <c r="T52"/>
  <c r="U81" s="1"/>
  <c r="Z65"/>
  <c r="V65"/>
  <c r="T49" l="1"/>
  <c r="U78" s="1"/>
  <c r="T65"/>
  <c r="X65"/>
  <c r="T50"/>
  <c r="U79" s="1"/>
  <c r="U88" s="1"/>
  <c r="C23" i="2"/>
  <c r="C22"/>
  <c r="C19"/>
  <c r="C21" l="1"/>
  <c r="C20"/>
</calcChain>
</file>

<file path=xl/sharedStrings.xml><?xml version="1.0" encoding="utf-8"?>
<sst xmlns="http://schemas.openxmlformats.org/spreadsheetml/2006/main" count="197" uniqueCount="116">
  <si>
    <t>ACTIVOS</t>
  </si>
  <si>
    <t>VALOR</t>
  </si>
  <si>
    <t>VIDA UTIL</t>
  </si>
  <si>
    <t>SALVAMENTO</t>
  </si>
  <si>
    <t>MAQUINARIA Y EQUIPO</t>
  </si>
  <si>
    <t>MOBILIARIO</t>
  </si>
  <si>
    <t>REQUERIMIENTO DE CAPITAL</t>
  </si>
  <si>
    <t>CREDITO</t>
  </si>
  <si>
    <t>NUMERO DE CUOTAS</t>
  </si>
  <si>
    <t>INTERES</t>
  </si>
  <si>
    <t>CUOTA</t>
  </si>
  <si>
    <t>ABONOS CONSTANTES A CAPITAL VENCIDOS</t>
  </si>
  <si>
    <t>PRESTAMO</t>
  </si>
  <si>
    <t>AMORTIZACION</t>
  </si>
  <si>
    <t>PROYECCION DE INGRESOS</t>
  </si>
  <si>
    <t>CANTIDADES</t>
  </si>
  <si>
    <t>PRECIO PONDERADO</t>
  </si>
  <si>
    <t>CRECIMIENTO</t>
  </si>
  <si>
    <t>PROYECCION DE COSTOS VARIABLES</t>
  </si>
  <si>
    <t>COSTO VARIABL PONDERADO</t>
  </si>
  <si>
    <t>PROYECCION DE COSTOS FIJOS</t>
  </si>
  <si>
    <t>COSTOS FIJOS</t>
  </si>
  <si>
    <t>INFORMACION ADICIONAL</t>
  </si>
  <si>
    <t>INFLACION</t>
  </si>
  <si>
    <t>IMPUESTO DE RENTA</t>
  </si>
  <si>
    <t>TASA DE PORTUNIDAD</t>
  </si>
  <si>
    <t>TASA DE FINANCIACION</t>
  </si>
  <si>
    <t>Crecimiento del flujo</t>
  </si>
  <si>
    <t>CALCULOS</t>
  </si>
  <si>
    <t>DEPRECIACION</t>
  </si>
  <si>
    <t>AÑO 0</t>
  </si>
  <si>
    <t>AÑO 1</t>
  </si>
  <si>
    <t>AÑO 2</t>
  </si>
  <si>
    <t>AÑO 3</t>
  </si>
  <si>
    <t>AÑO 4</t>
  </si>
  <si>
    <t>AÑO 5</t>
  </si>
  <si>
    <t>VEHICULO</t>
  </si>
  <si>
    <t>DEPRECIACION TOTAL</t>
  </si>
  <si>
    <t>TABLAS DE AMORTIZACION</t>
  </si>
  <si>
    <t>Saldo</t>
  </si>
  <si>
    <t>interes</t>
  </si>
  <si>
    <t>cuota</t>
  </si>
  <si>
    <t>Amortizacion</t>
  </si>
  <si>
    <t>AÑO3</t>
  </si>
  <si>
    <t>AÑO4</t>
  </si>
  <si>
    <t>Intereses</t>
  </si>
  <si>
    <t>Costo financiero</t>
  </si>
  <si>
    <t>Cantidades</t>
  </si>
  <si>
    <t>Precios</t>
  </si>
  <si>
    <t>VENTAS</t>
  </si>
  <si>
    <t>Cv unitario</t>
  </si>
  <si>
    <t>CV Total</t>
  </si>
  <si>
    <t>COSTOS TOTALES</t>
  </si>
  <si>
    <t>FLUJO NETO DE EFECTIVO</t>
  </si>
  <si>
    <t>Ingresos</t>
  </si>
  <si>
    <t>Costo total</t>
  </si>
  <si>
    <t xml:space="preserve">Depreciacion </t>
  </si>
  <si>
    <t>Utilidad antes tx</t>
  </si>
  <si>
    <t>Prov  tx</t>
  </si>
  <si>
    <t>Utilidad neta</t>
  </si>
  <si>
    <t>Depreciacion</t>
  </si>
  <si>
    <t>Flujo operativo</t>
  </si>
  <si>
    <t>Inversion fija</t>
  </si>
  <si>
    <t>Iversion capital</t>
  </si>
  <si>
    <t>Prestamos</t>
  </si>
  <si>
    <t>Inversion neta</t>
  </si>
  <si>
    <t>Recup activo fijo</t>
  </si>
  <si>
    <t>Deudas</t>
  </si>
  <si>
    <t>Valor residual</t>
  </si>
  <si>
    <t>FLUJO NETO EEFECTIVO</t>
  </si>
  <si>
    <t>HERRAMIENTAS DE EVALUACION</t>
  </si>
  <si>
    <t>VPN</t>
  </si>
  <si>
    <t>CAUE</t>
  </si>
  <si>
    <t>B/C</t>
  </si>
  <si>
    <t>TIR</t>
  </si>
  <si>
    <t>TIRM</t>
  </si>
  <si>
    <t>PRECIO</t>
  </si>
  <si>
    <t>CANTIDAD</t>
  </si>
  <si>
    <t>SENSIBILIDAD DE PRECIOS</t>
  </si>
  <si>
    <t>SENSIBILIDAD DE CANTIDADES</t>
  </si>
  <si>
    <t>SENSIBILIDAD DE CV</t>
  </si>
  <si>
    <t>SENSIBILIDAD DE COSTOS FIJOS</t>
  </si>
  <si>
    <t>VEHICULO TRANSPORTE</t>
  </si>
  <si>
    <t>MUEBLES Y ENSERES</t>
  </si>
  <si>
    <t>CUOTAS FIJAS VENCIDAS</t>
  </si>
  <si>
    <t>Costos Fijos</t>
  </si>
  <si>
    <t>PESIMISTA</t>
  </si>
  <si>
    <t>REALISTA</t>
  </si>
  <si>
    <t>OPTIMISTA</t>
  </si>
  <si>
    <t>SOFTWARE Y HARDWARE</t>
  </si>
  <si>
    <t>CV</t>
  </si>
  <si>
    <t>CF</t>
  </si>
  <si>
    <t>BC</t>
  </si>
  <si>
    <t>Resumen de escenario</t>
  </si>
  <si>
    <t>Celdas cambiantes:</t>
  </si>
  <si>
    <t>Valores actuales:</t>
  </si>
  <si>
    <t>Celdas de resultado:</t>
  </si>
  <si>
    <t>ESPERANZA</t>
  </si>
  <si>
    <t>ANALISIS DE SENSIBILIDAD</t>
  </si>
  <si>
    <t>PENDIENTE</t>
  </si>
  <si>
    <t>FLUJO DE CAJA DEFLACTADO</t>
  </si>
  <si>
    <t xml:space="preserve">AÑO </t>
  </si>
  <si>
    <t>FLUJO</t>
  </si>
  <si>
    <t>TIO</t>
  </si>
  <si>
    <t>TASA FIN</t>
  </si>
  <si>
    <t>El negocio continua siendo rentable</t>
  </si>
  <si>
    <t>Creado por Portatil1 el 02/12/2010
Modificado por Portatil1 el 09/06/2013</t>
  </si>
  <si>
    <t>Probabilidad:</t>
  </si>
  <si>
    <t>PUNTO DE EQUILIBRIO</t>
  </si>
  <si>
    <t xml:space="preserve">Cantidades Minimas </t>
  </si>
  <si>
    <t>Costo Variable Total</t>
  </si>
  <si>
    <t>CVT</t>
  </si>
  <si>
    <t>Ingreso Total</t>
  </si>
  <si>
    <t>Precio</t>
  </si>
  <si>
    <t>Cantidad</t>
  </si>
  <si>
    <t>Costo Variable Unit</t>
  </si>
</sst>
</file>

<file path=xl/styles.xml><?xml version="1.0" encoding="utf-8"?>
<styleSheet xmlns="http://schemas.openxmlformats.org/spreadsheetml/2006/main">
  <numFmts count="15">
    <numFmt numFmtId="43" formatCode="_-* #,##0.00\ _€_-;\-* #,##0.00\ _€_-;_-* &quot;-&quot;??\ _€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0.0000%"/>
    <numFmt numFmtId="168" formatCode="0.0000"/>
    <numFmt numFmtId="169" formatCode="_-[$$-240A]\ * #,##0.00_ ;_-[$$-240A]\ * \-#,##0.00\ ;_-[$$-240A]\ * &quot;-&quot;??_ ;_-@_ "/>
    <numFmt numFmtId="170" formatCode="_-[$$-240A]\ * #,##0_ ;_-[$$-240A]\ * \-#,##0\ ;_-[$$-240A]\ * &quot;-&quot;??_ ;_-@_ "/>
    <numFmt numFmtId="171" formatCode="0.0%"/>
    <numFmt numFmtId="172" formatCode="_-[$$-240A]\ * #,##0_ ;_-[$$-240A]\ * \-#,##0\ ;_-[$$-240A]\ * &quot;-&quot;_ ;_-@_ "/>
    <numFmt numFmtId="173" formatCode="[$$-240A]\ #,##0"/>
    <numFmt numFmtId="174" formatCode="0.00000%"/>
    <numFmt numFmtId="175" formatCode="0.0000000"/>
    <numFmt numFmtId="176" formatCode="[$$-240A]\ #,##0.00"/>
    <numFmt numFmtId="177" formatCode="&quot;$&quot;\ #,##0_);[Red]\(&quot;$&quot;\ #,##0\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9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11"/>
      <color indexed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/>
    <xf numFmtId="0" fontId="4" fillId="0" borderId="0" xfId="0" applyFont="1"/>
    <xf numFmtId="9" fontId="0" fillId="3" borderId="1" xfId="0" applyNumberFormat="1" applyFill="1" applyBorder="1"/>
    <xf numFmtId="0" fontId="0" fillId="3" borderId="1" xfId="0" applyFill="1" applyBorder="1"/>
    <xf numFmtId="0" fontId="0" fillId="0" borderId="1" xfId="0" applyBorder="1"/>
    <xf numFmtId="0" fontId="0" fillId="2" borderId="1" xfId="0" applyFill="1" applyBorder="1"/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/>
    <xf numFmtId="9" fontId="0" fillId="3" borderId="1" xfId="0" applyNumberFormat="1" applyFill="1" applyBorder="1"/>
    <xf numFmtId="0" fontId="0" fillId="3" borderId="1" xfId="0" applyFill="1" applyBorder="1"/>
    <xf numFmtId="167" fontId="0" fillId="3" borderId="1" xfId="0" applyNumberFormat="1" applyFill="1" applyBorder="1"/>
    <xf numFmtId="0" fontId="0" fillId="0" borderId="0" xfId="0"/>
    <xf numFmtId="0" fontId="3" fillId="0" borderId="0" xfId="0" applyFont="1"/>
    <xf numFmtId="0" fontId="0" fillId="3" borderId="1" xfId="0" applyFill="1" applyBorder="1"/>
    <xf numFmtId="0" fontId="0" fillId="0" borderId="1" xfId="0" applyBorder="1"/>
    <xf numFmtId="0" fontId="2" fillId="2" borderId="0" xfId="0" applyFont="1" applyFill="1"/>
    <xf numFmtId="166" fontId="1" fillId="3" borderId="1" xfId="1" applyNumberFormat="1" applyFont="1" applyFill="1" applyBorder="1"/>
    <xf numFmtId="166" fontId="1" fillId="0" borderId="1" xfId="1" applyNumberFormat="1" applyFont="1" applyBorder="1"/>
    <xf numFmtId="0" fontId="0" fillId="0" borderId="0" xfId="0"/>
    <xf numFmtId="0" fontId="2" fillId="0" borderId="0" xfId="0" applyFont="1"/>
    <xf numFmtId="165" fontId="1" fillId="0" borderId="0" xfId="1" applyFont="1"/>
    <xf numFmtId="0" fontId="0" fillId="0" borderId="0" xfId="0"/>
    <xf numFmtId="0" fontId="3" fillId="0" borderId="0" xfId="0" applyFont="1"/>
    <xf numFmtId="165" fontId="0" fillId="0" borderId="0" xfId="0" applyNumberFormat="1"/>
    <xf numFmtId="0" fontId="2" fillId="2" borderId="0" xfId="0" applyFont="1" applyFill="1"/>
    <xf numFmtId="166" fontId="0" fillId="0" borderId="0" xfId="0" applyNumberFormat="1"/>
    <xf numFmtId="0" fontId="2" fillId="2" borderId="1" xfId="0" applyFont="1" applyFill="1" applyBorder="1"/>
    <xf numFmtId="165" fontId="2" fillId="2" borderId="1" xfId="0" applyNumberFormat="1" applyFont="1" applyFill="1" applyBorder="1"/>
    <xf numFmtId="0" fontId="0" fillId="0" borderId="0" xfId="0"/>
    <xf numFmtId="0" fontId="5" fillId="0" borderId="0" xfId="0" applyFont="1"/>
    <xf numFmtId="0" fontId="0" fillId="0" borderId="1" xfId="0" applyBorder="1"/>
    <xf numFmtId="9" fontId="0" fillId="0" borderId="1" xfId="0" applyNumberFormat="1" applyBorder="1"/>
    <xf numFmtId="0" fontId="2" fillId="2" borderId="1" xfId="0" applyFont="1" applyFill="1" applyBorder="1"/>
    <xf numFmtId="164" fontId="0" fillId="0" borderId="1" xfId="0" applyNumberFormat="1" applyBorder="1"/>
    <xf numFmtId="168" fontId="0" fillId="0" borderId="1" xfId="0" applyNumberFormat="1" applyBorder="1"/>
    <xf numFmtId="10" fontId="0" fillId="0" borderId="1" xfId="0" applyNumberFormat="1" applyBorder="1"/>
    <xf numFmtId="0" fontId="0" fillId="0" borderId="0" xfId="0"/>
    <xf numFmtId="0" fontId="2" fillId="0" borderId="0" xfId="0" applyFont="1"/>
    <xf numFmtId="165" fontId="0" fillId="0" borderId="0" xfId="0" applyNumberFormat="1"/>
    <xf numFmtId="170" fontId="0" fillId="2" borderId="0" xfId="0" applyNumberFormat="1" applyFill="1"/>
    <xf numFmtId="169" fontId="0" fillId="3" borderId="1" xfId="0" applyNumberFormat="1" applyFill="1" applyBorder="1"/>
    <xf numFmtId="0" fontId="7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65" fontId="1" fillId="0" borderId="1" xfId="1" applyFont="1" applyBorder="1"/>
    <xf numFmtId="165" fontId="1" fillId="3" borderId="1" xfId="1" applyFont="1" applyFill="1" applyBorder="1"/>
    <xf numFmtId="171" fontId="0" fillId="3" borderId="1" xfId="0" applyNumberFormat="1" applyFill="1" applyBorder="1"/>
    <xf numFmtId="10" fontId="0" fillId="3" borderId="1" xfId="0" applyNumberFormat="1" applyFill="1" applyBorder="1"/>
    <xf numFmtId="165" fontId="0" fillId="3" borderId="1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/>
    <xf numFmtId="0" fontId="8" fillId="0" borderId="0" xfId="0" applyFont="1"/>
    <xf numFmtId="170" fontId="0" fillId="0" borderId="0" xfId="0" applyNumberFormat="1"/>
    <xf numFmtId="166" fontId="0" fillId="0" borderId="0" xfId="1" applyNumberFormat="1" applyFont="1"/>
    <xf numFmtId="172" fontId="1" fillId="0" borderId="1" xfId="1" applyNumberFormat="1" applyFont="1" applyBorder="1"/>
    <xf numFmtId="166" fontId="0" fillId="0" borderId="1" xfId="0" applyNumberFormat="1" applyBorder="1"/>
    <xf numFmtId="9" fontId="0" fillId="0" borderId="0" xfId="2" applyFont="1"/>
    <xf numFmtId="172" fontId="0" fillId="0" borderId="0" xfId="0" applyNumberFormat="1"/>
    <xf numFmtId="0" fontId="2" fillId="3" borderId="0" xfId="0" applyFont="1" applyFill="1"/>
    <xf numFmtId="0" fontId="2" fillId="4" borderId="0" xfId="0" applyFont="1" applyFill="1" applyAlignment="1">
      <alignment horizontal="center"/>
    </xf>
    <xf numFmtId="172" fontId="0" fillId="2" borderId="1" xfId="0" applyNumberFormat="1" applyFill="1" applyBorder="1"/>
    <xf numFmtId="0" fontId="0" fillId="3" borderId="0" xfId="0" applyFill="1"/>
    <xf numFmtId="172" fontId="0" fillId="3" borderId="1" xfId="0" applyNumberFormat="1" applyFill="1" applyBorder="1"/>
    <xf numFmtId="173" fontId="0" fillId="3" borderId="1" xfId="0" applyNumberFormat="1" applyFill="1" applyBorder="1"/>
    <xf numFmtId="165" fontId="0" fillId="3" borderId="1" xfId="1" applyNumberFormat="1" applyFont="1" applyFill="1" applyBorder="1"/>
    <xf numFmtId="0" fontId="2" fillId="0" borderId="0" xfId="0" applyFont="1" applyFill="1" applyBorder="1"/>
    <xf numFmtId="0" fontId="0" fillId="0" borderId="0" xfId="0" applyFill="1" applyBorder="1"/>
    <xf numFmtId="0" fontId="0" fillId="3" borderId="1" xfId="0" applyFont="1" applyFill="1" applyBorder="1"/>
    <xf numFmtId="167" fontId="0" fillId="0" borderId="0" xfId="2" applyNumberFormat="1" applyFont="1"/>
    <xf numFmtId="174" fontId="0" fillId="0" borderId="0" xfId="2" applyNumberFormat="1" applyFont="1"/>
    <xf numFmtId="175" fontId="0" fillId="0" borderId="0" xfId="0" applyNumberFormat="1"/>
    <xf numFmtId="0" fontId="10" fillId="0" borderId="0" xfId="0" applyFont="1" applyFill="1" applyBorder="1"/>
    <xf numFmtId="9" fontId="0" fillId="0" borderId="0" xfId="0" applyNumberFormat="1" applyFill="1" applyBorder="1"/>
    <xf numFmtId="0" fontId="0" fillId="0" borderId="0" xfId="0" applyFill="1" applyBorder="1" applyAlignment="1"/>
    <xf numFmtId="0" fontId="0" fillId="0" borderId="5" xfId="0" applyFill="1" applyBorder="1" applyAlignment="1"/>
    <xf numFmtId="0" fontId="11" fillId="5" borderId="2" xfId="0" applyFont="1" applyFill="1" applyBorder="1" applyAlignment="1">
      <alignment horizontal="right"/>
    </xf>
    <xf numFmtId="0" fontId="11" fillId="5" borderId="4" xfId="0" applyFont="1" applyFill="1" applyBorder="1" applyAlignment="1">
      <alignment horizontal="right"/>
    </xf>
    <xf numFmtId="0" fontId="12" fillId="0" borderId="0" xfId="0" applyFont="1" applyFill="1" applyBorder="1" applyAlignment="1">
      <alignment vertical="top" wrapText="1"/>
    </xf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2" fillId="8" borderId="0" xfId="0" applyFont="1" applyFill="1"/>
    <xf numFmtId="9" fontId="2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9" borderId="0" xfId="0" applyFont="1" applyFill="1" applyBorder="1" applyAlignment="1">
      <alignment horizontal="center"/>
    </xf>
    <xf numFmtId="176" fontId="0" fillId="0" borderId="0" xfId="0" applyNumberFormat="1" applyFill="1" applyBorder="1"/>
    <xf numFmtId="176" fontId="0" fillId="0" borderId="0" xfId="0" applyNumberFormat="1"/>
    <xf numFmtId="165" fontId="0" fillId="3" borderId="5" xfId="0" applyNumberFormat="1" applyFill="1" applyBorder="1"/>
    <xf numFmtId="176" fontId="0" fillId="3" borderId="5" xfId="0" applyNumberFormat="1" applyFill="1" applyBorder="1"/>
    <xf numFmtId="10" fontId="13" fillId="0" borderId="0" xfId="0" applyNumberFormat="1" applyFont="1" applyFill="1" applyBorder="1" applyAlignment="1">
      <alignment horizontal="center"/>
    </xf>
    <xf numFmtId="10" fontId="13" fillId="0" borderId="0" xfId="0" applyNumberFormat="1" applyFont="1" applyAlignment="1">
      <alignment horizontal="center"/>
    </xf>
    <xf numFmtId="10" fontId="13" fillId="0" borderId="0" xfId="2" applyNumberFormat="1" applyFont="1" applyAlignment="1">
      <alignment horizontal="center"/>
    </xf>
    <xf numFmtId="0" fontId="10" fillId="0" borderId="0" xfId="0" applyFont="1"/>
    <xf numFmtId="10" fontId="0" fillId="0" borderId="0" xfId="0" applyNumberFormat="1" applyAlignment="1">
      <alignment horizontal="left"/>
    </xf>
    <xf numFmtId="0" fontId="2" fillId="0" borderId="1" xfId="0" applyFont="1" applyFill="1" applyBorder="1" applyAlignment="1">
      <alignment horizontal="center"/>
    </xf>
    <xf numFmtId="165" fontId="2" fillId="0" borderId="1" xfId="0" applyNumberFormat="1" applyFont="1" applyFill="1" applyBorder="1"/>
    <xf numFmtId="176" fontId="0" fillId="0" borderId="1" xfId="0" applyNumberFormat="1" applyFill="1" applyBorder="1"/>
    <xf numFmtId="176" fontId="0" fillId="0" borderId="1" xfId="0" applyNumberFormat="1" applyBorder="1"/>
    <xf numFmtId="166" fontId="1" fillId="0" borderId="0" xfId="1" applyNumberFormat="1" applyFont="1" applyAlignment="1"/>
    <xf numFmtId="166" fontId="0" fillId="3" borderId="1" xfId="1" applyNumberFormat="1" applyFont="1" applyFill="1" applyBorder="1"/>
    <xf numFmtId="3" fontId="14" fillId="3" borderId="1" xfId="0" applyNumberFormat="1" applyFont="1" applyFill="1" applyBorder="1"/>
    <xf numFmtId="3" fontId="0" fillId="3" borderId="1" xfId="0" applyNumberFormat="1" applyFont="1" applyFill="1" applyBorder="1"/>
    <xf numFmtId="0" fontId="9" fillId="0" borderId="0" xfId="0" applyFont="1" applyFill="1"/>
    <xf numFmtId="0" fontId="2" fillId="0" borderId="0" xfId="0" applyFont="1" applyFill="1" applyAlignment="1">
      <alignment horizontal="center"/>
    </xf>
    <xf numFmtId="165" fontId="0" fillId="0" borderId="0" xfId="0" applyNumberFormat="1" applyFill="1" applyBorder="1"/>
    <xf numFmtId="165" fontId="2" fillId="0" borderId="0" xfId="0" applyNumberFormat="1" applyFont="1" applyFill="1" applyBorder="1"/>
    <xf numFmtId="43" fontId="0" fillId="0" borderId="1" xfId="0" applyNumberFormat="1" applyBorder="1"/>
    <xf numFmtId="9" fontId="0" fillId="0" borderId="0" xfId="0" applyNumberFormat="1"/>
    <xf numFmtId="0" fontId="15" fillId="5" borderId="4" xfId="0" applyFont="1" applyFill="1" applyBorder="1" applyAlignment="1">
      <alignment horizontal="left"/>
    </xf>
    <xf numFmtId="0" fontId="15" fillId="5" borderId="2" xfId="0" applyFont="1" applyFill="1" applyBorder="1" applyAlignment="1">
      <alignment horizontal="left"/>
    </xf>
    <xf numFmtId="0" fontId="17" fillId="0" borderId="5" xfId="0" applyFont="1" applyFill="1" applyBorder="1" applyAlignment="1">
      <alignment horizontal="left"/>
    </xf>
    <xf numFmtId="0" fontId="16" fillId="6" borderId="0" xfId="0" applyFont="1" applyFill="1" applyBorder="1" applyAlignment="1">
      <alignment horizontal="left"/>
    </xf>
    <xf numFmtId="0" fontId="16" fillId="6" borderId="3" xfId="0" applyFont="1" applyFill="1" applyBorder="1" applyAlignment="1">
      <alignment horizontal="left"/>
    </xf>
    <xf numFmtId="9" fontId="0" fillId="2" borderId="1" xfId="0" applyNumberFormat="1" applyFill="1" applyBorder="1"/>
    <xf numFmtId="0" fontId="0" fillId="0" borderId="1" xfId="0" applyFill="1" applyBorder="1" applyAlignment="1"/>
    <xf numFmtId="0" fontId="0" fillId="7" borderId="1" xfId="0" applyFill="1" applyBorder="1" applyAlignment="1"/>
    <xf numFmtId="173" fontId="0" fillId="0" borderId="1" xfId="0" applyNumberFormat="1" applyFill="1" applyBorder="1" applyAlignment="1"/>
    <xf numFmtId="173" fontId="0" fillId="7" borderId="1" xfId="0" applyNumberFormat="1" applyFill="1" applyBorder="1" applyAlignment="1"/>
    <xf numFmtId="164" fontId="0" fillId="0" borderId="1" xfId="0" applyNumberFormat="1" applyFill="1" applyBorder="1" applyAlignment="1"/>
    <xf numFmtId="43" fontId="0" fillId="0" borderId="1" xfId="0" applyNumberFormat="1" applyFill="1" applyBorder="1" applyAlignment="1"/>
    <xf numFmtId="10" fontId="0" fillId="0" borderId="1" xfId="0" applyNumberFormat="1" applyFill="1" applyBorder="1" applyAlignment="1"/>
    <xf numFmtId="9" fontId="0" fillId="0" borderId="1" xfId="0" applyNumberFormat="1" applyFill="1" applyBorder="1" applyAlignment="1"/>
    <xf numFmtId="173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9" fontId="0" fillId="0" borderId="1" xfId="2" applyFont="1" applyBorder="1" applyAlignment="1">
      <alignment horizontal="right"/>
    </xf>
    <xf numFmtId="0" fontId="0" fillId="0" borderId="1" xfId="0" applyBorder="1" applyAlignment="1">
      <alignment horizontal="center"/>
    </xf>
    <xf numFmtId="0" fontId="17" fillId="0" borderId="4" xfId="0" applyFont="1" applyFill="1" applyBorder="1" applyAlignment="1"/>
    <xf numFmtId="0" fontId="17" fillId="0" borderId="11" xfId="0" applyFont="1" applyFill="1" applyBorder="1" applyAlignment="1"/>
    <xf numFmtId="0" fontId="18" fillId="5" borderId="2" xfId="0" applyFont="1" applyFill="1" applyBorder="1" applyAlignment="1">
      <alignment horizontal="center"/>
    </xf>
    <xf numFmtId="0" fontId="18" fillId="5" borderId="4" xfId="0" applyFont="1" applyFill="1" applyBorder="1" applyAlignment="1">
      <alignment horizontal="right"/>
    </xf>
    <xf numFmtId="177" fontId="0" fillId="0" borderId="1" xfId="0" applyNumberFormat="1" applyBorder="1"/>
    <xf numFmtId="177" fontId="0" fillId="0" borderId="7" xfId="0" applyNumberFormat="1" applyBorder="1"/>
    <xf numFmtId="177" fontId="0" fillId="0" borderId="9" xfId="0" applyNumberFormat="1" applyBorder="1"/>
    <xf numFmtId="177" fontId="0" fillId="0" borderId="11" xfId="0" applyNumberFormat="1" applyBorder="1"/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1" xfId="0" applyNumberFormat="1" applyBorder="1"/>
    <xf numFmtId="1" fontId="0" fillId="0" borderId="1" xfId="0" applyNumberFormat="1" applyFont="1" applyBorder="1"/>
    <xf numFmtId="0" fontId="2" fillId="2" borderId="0" xfId="0" applyFont="1" applyFill="1" applyBorder="1"/>
    <xf numFmtId="1" fontId="0" fillId="0" borderId="1" xfId="0" applyNumberFormat="1" applyBorder="1" applyAlignment="1">
      <alignment horizontal="center"/>
    </xf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plotArea>
      <c:layout/>
      <c:lineChart>
        <c:grouping val="standard"/>
        <c:ser>
          <c:idx val="0"/>
          <c:order val="0"/>
          <c:tx>
            <c:strRef>
              <c:f>'Flujo de caja del proyecto'!$S$77</c:f>
              <c:strCache>
                <c:ptCount val="1"/>
                <c:pt idx="0">
                  <c:v>PRECIO</c:v>
                </c:pt>
              </c:strCache>
            </c:strRef>
          </c:tx>
          <c:marker>
            <c:symbol val="none"/>
          </c:marker>
          <c:val>
            <c:numRef>
              <c:f>'Flujo de caja del proyecto'!$S$78:$S$86</c:f>
              <c:numCache>
                <c:formatCode>0</c:formatCode>
                <c:ptCount val="9"/>
                <c:pt idx="0">
                  <c:v>514739836.56944466</c:v>
                </c:pt>
                <c:pt idx="1">
                  <c:v>623908618.60067332</c:v>
                </c:pt>
                <c:pt idx="2">
                  <c:v>738822970.96381295</c:v>
                </c:pt>
                <c:pt idx="3">
                  <c:v>859785896.08258784</c:v>
                </c:pt>
                <c:pt idx="4">
                  <c:v>987115241.81217098</c:v>
                </c:pt>
                <c:pt idx="5">
                  <c:v>1114444819.3198442</c:v>
                </c:pt>
                <c:pt idx="6">
                  <c:v>1248140585.6602356</c:v>
                </c:pt>
                <c:pt idx="7">
                  <c:v>1388521090.4238474</c:v>
                </c:pt>
                <c:pt idx="8">
                  <c:v>1535921396.0626595</c:v>
                </c:pt>
              </c:numCache>
            </c:numRef>
          </c:val>
        </c:ser>
        <c:ser>
          <c:idx val="1"/>
          <c:order val="1"/>
          <c:tx>
            <c:strRef>
              <c:f>'Flujo de caja del proyecto'!$T$77</c:f>
              <c:strCache>
                <c:ptCount val="1"/>
                <c:pt idx="0">
                  <c:v>CANTIDADES</c:v>
                </c:pt>
              </c:strCache>
            </c:strRef>
          </c:tx>
          <c:marker>
            <c:symbol val="none"/>
          </c:marker>
          <c:val>
            <c:numRef>
              <c:f>'Flujo de caja del proyecto'!$T$78:$T$86</c:f>
              <c:numCache>
                <c:formatCode>0</c:formatCode>
                <c:ptCount val="9"/>
                <c:pt idx="0">
                  <c:v>632835758.53719771</c:v>
                </c:pt>
                <c:pt idx="1">
                  <c:v>714708407.99430299</c:v>
                </c:pt>
                <c:pt idx="2">
                  <c:v>800899226.8135947</c:v>
                </c:pt>
                <c:pt idx="3">
                  <c:v>891635971.44547796</c:v>
                </c:pt>
                <c:pt idx="4">
                  <c:v>987115241.81217098</c:v>
                </c:pt>
                <c:pt idx="5">
                  <c:v>1082618777.6074452</c:v>
                </c:pt>
                <c:pt idx="6">
                  <c:v>1182874563.7383316</c:v>
                </c:pt>
                <c:pt idx="7">
                  <c:v>1288177083.7137606</c:v>
                </c:pt>
                <c:pt idx="8">
                  <c:v>1398719743.2693419</c:v>
                </c:pt>
              </c:numCache>
            </c:numRef>
          </c:val>
        </c:ser>
        <c:ser>
          <c:idx val="2"/>
          <c:order val="2"/>
          <c:tx>
            <c:strRef>
              <c:f>'Flujo de caja del proyecto'!$U$77</c:f>
              <c:strCache>
                <c:ptCount val="1"/>
                <c:pt idx="0">
                  <c:v>CV</c:v>
                </c:pt>
              </c:strCache>
            </c:strRef>
          </c:tx>
          <c:marker>
            <c:symbol val="none"/>
          </c:marker>
          <c:val>
            <c:numRef>
              <c:f>'Flujo de caja del proyecto'!$U$78:$U$86</c:f>
              <c:numCache>
                <c:formatCode>0</c:formatCode>
                <c:ptCount val="9"/>
                <c:pt idx="0">
                  <c:v>987115241.81217098</c:v>
                </c:pt>
                <c:pt idx="1">
                  <c:v>987115241.81217098</c:v>
                </c:pt>
                <c:pt idx="2">
                  <c:v>987115241.81217098</c:v>
                </c:pt>
                <c:pt idx="3">
                  <c:v>987115241.81217098</c:v>
                </c:pt>
                <c:pt idx="4">
                  <c:v>987115241.81217098</c:v>
                </c:pt>
                <c:pt idx="5">
                  <c:v>987115241.81217098</c:v>
                </c:pt>
                <c:pt idx="6">
                  <c:v>987115241.81217098</c:v>
                </c:pt>
                <c:pt idx="7">
                  <c:v>987115241.81217098</c:v>
                </c:pt>
                <c:pt idx="8">
                  <c:v>987115241.81217098</c:v>
                </c:pt>
              </c:numCache>
            </c:numRef>
          </c:val>
        </c:ser>
        <c:ser>
          <c:idx val="3"/>
          <c:order val="3"/>
          <c:tx>
            <c:strRef>
              <c:f>'Flujo de caja del proyecto'!$V$77</c:f>
              <c:strCache>
                <c:ptCount val="1"/>
                <c:pt idx="0">
                  <c:v>CF</c:v>
                </c:pt>
              </c:strCache>
            </c:strRef>
          </c:tx>
          <c:marker>
            <c:symbol val="none"/>
          </c:marker>
          <c:val>
            <c:numRef>
              <c:f>'Flujo de caja del proyecto'!$V$78:$V$86</c:f>
              <c:numCache>
                <c:formatCode>0</c:formatCode>
                <c:ptCount val="9"/>
                <c:pt idx="0">
                  <c:v>1100502481.6024415</c:v>
                </c:pt>
                <c:pt idx="1">
                  <c:v>1074297990.9567471</c:v>
                </c:pt>
                <c:pt idx="2">
                  <c:v>1046714316.6020737</c:v>
                </c:pt>
                <c:pt idx="3">
                  <c:v>1017678869.907717</c:v>
                </c:pt>
                <c:pt idx="4">
                  <c:v>987115241.81217098</c:v>
                </c:pt>
                <c:pt idx="5">
                  <c:v>956551613.72136211</c:v>
                </c:pt>
                <c:pt idx="6">
                  <c:v>924459804.20973587</c:v>
                </c:pt>
                <c:pt idx="7">
                  <c:v>890763404.21872258</c:v>
                </c:pt>
                <c:pt idx="8">
                  <c:v>855382184.25091052</c:v>
                </c:pt>
              </c:numCache>
            </c:numRef>
          </c:val>
        </c:ser>
        <c:marker val="1"/>
        <c:axId val="117333376"/>
        <c:axId val="117347456"/>
      </c:lineChart>
      <c:catAx>
        <c:axId val="117333376"/>
        <c:scaling>
          <c:orientation val="minMax"/>
        </c:scaling>
        <c:axPos val="b"/>
        <c:tickLblPos val="nextTo"/>
        <c:crossAx val="117347456"/>
        <c:crosses val="autoZero"/>
        <c:auto val="1"/>
        <c:lblAlgn val="ctr"/>
        <c:lblOffset val="100"/>
      </c:catAx>
      <c:valAx>
        <c:axId val="117347456"/>
        <c:scaling>
          <c:orientation val="minMax"/>
        </c:scaling>
        <c:axPos val="l"/>
        <c:majorGridlines/>
        <c:numFmt formatCode="0" sourceLinked="1"/>
        <c:tickLblPos val="nextTo"/>
        <c:crossAx val="1173333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title>
      <c:tx>
        <c:rich>
          <a:bodyPr/>
          <a:lstStyle/>
          <a:p>
            <a:pPr>
              <a:defRPr/>
            </a:pPr>
            <a:r>
              <a:rPr lang="es-CO"/>
              <a:t>Punto de Equilibrio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'Flujo de caja del proyecto'!$U$101</c:f>
              <c:strCache>
                <c:ptCount val="1"/>
                <c:pt idx="0">
                  <c:v>Ingreso Total</c:v>
                </c:pt>
              </c:strCache>
            </c:strRef>
          </c:tx>
          <c:xVal>
            <c:numRef>
              <c:f>'Flujo de caja del proyecto'!$T$102:$T$108</c:f>
              <c:numCache>
                <c:formatCode>0</c:formatCode>
                <c:ptCount val="7"/>
                <c:pt idx="0">
                  <c:v>7352.6613333333325</c:v>
                </c:pt>
                <c:pt idx="1">
                  <c:v>9190.8266666666659</c:v>
                </c:pt>
                <c:pt idx="2">
                  <c:v>11488.533333333333</c:v>
                </c:pt>
                <c:pt idx="3">
                  <c:v>14360.666666666666</c:v>
                </c:pt>
                <c:pt idx="4">
                  <c:v>17232.8</c:v>
                </c:pt>
                <c:pt idx="5">
                  <c:v>20679.36</c:v>
                </c:pt>
                <c:pt idx="6">
                  <c:v>24815.232</c:v>
                </c:pt>
              </c:numCache>
            </c:numRef>
          </c:xVal>
          <c:yVal>
            <c:numRef>
              <c:f>'Flujo de caja del proyecto'!$U$102:$U$108</c:f>
              <c:numCache>
                <c:formatCode>General</c:formatCode>
                <c:ptCount val="7"/>
                <c:pt idx="0">
                  <c:v>147053226.66666666</c:v>
                </c:pt>
                <c:pt idx="1">
                  <c:v>183816533.33333331</c:v>
                </c:pt>
                <c:pt idx="2">
                  <c:v>229770666.66666666</c:v>
                </c:pt>
                <c:pt idx="3" formatCode="0">
                  <c:v>287213333.33333331</c:v>
                </c:pt>
                <c:pt idx="4">
                  <c:v>344656000</c:v>
                </c:pt>
                <c:pt idx="5">
                  <c:v>413587200</c:v>
                </c:pt>
                <c:pt idx="6">
                  <c:v>496304640</c:v>
                </c:pt>
              </c:numCache>
            </c:numRef>
          </c:yVal>
        </c:ser>
        <c:ser>
          <c:idx val="1"/>
          <c:order val="1"/>
          <c:tx>
            <c:strRef>
              <c:f>'Flujo de caja del proyecto'!$V$101</c:f>
              <c:strCache>
                <c:ptCount val="1"/>
                <c:pt idx="0">
                  <c:v>CF</c:v>
                </c:pt>
              </c:strCache>
            </c:strRef>
          </c:tx>
          <c:xVal>
            <c:numRef>
              <c:f>'Flujo de caja del proyecto'!$T$102:$T$108</c:f>
              <c:numCache>
                <c:formatCode>0</c:formatCode>
                <c:ptCount val="7"/>
                <c:pt idx="0">
                  <c:v>7352.6613333333325</c:v>
                </c:pt>
                <c:pt idx="1">
                  <c:v>9190.8266666666659</c:v>
                </c:pt>
                <c:pt idx="2">
                  <c:v>11488.533333333333</c:v>
                </c:pt>
                <c:pt idx="3">
                  <c:v>14360.666666666666</c:v>
                </c:pt>
                <c:pt idx="4">
                  <c:v>17232.8</c:v>
                </c:pt>
                <c:pt idx="5">
                  <c:v>20679.36</c:v>
                </c:pt>
                <c:pt idx="6">
                  <c:v>24815.232</c:v>
                </c:pt>
              </c:numCache>
            </c:numRef>
          </c:xVal>
          <c:yVal>
            <c:numRef>
              <c:f>'Flujo de caja del proyecto'!$V$102:$V$108</c:f>
              <c:numCache>
                <c:formatCode>General</c:formatCode>
                <c:ptCount val="7"/>
                <c:pt idx="0">
                  <c:v>215410000</c:v>
                </c:pt>
                <c:pt idx="1">
                  <c:v>215410000</c:v>
                </c:pt>
                <c:pt idx="2">
                  <c:v>215410000</c:v>
                </c:pt>
                <c:pt idx="3">
                  <c:v>215410000</c:v>
                </c:pt>
                <c:pt idx="4">
                  <c:v>215410000</c:v>
                </c:pt>
                <c:pt idx="5">
                  <c:v>215410000</c:v>
                </c:pt>
                <c:pt idx="6">
                  <c:v>215410000</c:v>
                </c:pt>
              </c:numCache>
            </c:numRef>
          </c:yVal>
        </c:ser>
        <c:ser>
          <c:idx val="2"/>
          <c:order val="2"/>
          <c:tx>
            <c:strRef>
              <c:f>'Flujo de caja del proyecto'!$Y$101</c:f>
              <c:strCache>
                <c:ptCount val="1"/>
                <c:pt idx="0">
                  <c:v>Costo total</c:v>
                </c:pt>
              </c:strCache>
            </c:strRef>
          </c:tx>
          <c:xVal>
            <c:numRef>
              <c:f>'Flujo de caja del proyecto'!$T$102:$T$108</c:f>
              <c:numCache>
                <c:formatCode>0</c:formatCode>
                <c:ptCount val="7"/>
                <c:pt idx="0">
                  <c:v>7352.6613333333325</c:v>
                </c:pt>
                <c:pt idx="1">
                  <c:v>9190.8266666666659</c:v>
                </c:pt>
                <c:pt idx="2">
                  <c:v>11488.533333333333</c:v>
                </c:pt>
                <c:pt idx="3">
                  <c:v>14360.666666666666</c:v>
                </c:pt>
                <c:pt idx="4">
                  <c:v>17232.8</c:v>
                </c:pt>
                <c:pt idx="5">
                  <c:v>20679.36</c:v>
                </c:pt>
                <c:pt idx="6">
                  <c:v>24815.232</c:v>
                </c:pt>
              </c:numCache>
            </c:numRef>
          </c:xVal>
          <c:yVal>
            <c:numRef>
              <c:f>'Flujo de caja del proyecto'!$Y$102:$Y$108</c:f>
              <c:numCache>
                <c:formatCode>0</c:formatCode>
                <c:ptCount val="7"/>
                <c:pt idx="0">
                  <c:v>252173306.66666666</c:v>
                </c:pt>
                <c:pt idx="1">
                  <c:v>261364133.33333331</c:v>
                </c:pt>
                <c:pt idx="2">
                  <c:v>272852666.66666669</c:v>
                </c:pt>
                <c:pt idx="3">
                  <c:v>287213333.33333331</c:v>
                </c:pt>
                <c:pt idx="4">
                  <c:v>301574000</c:v>
                </c:pt>
                <c:pt idx="5">
                  <c:v>318806800</c:v>
                </c:pt>
                <c:pt idx="6">
                  <c:v>339486160</c:v>
                </c:pt>
              </c:numCache>
            </c:numRef>
          </c:yVal>
        </c:ser>
        <c:axId val="118066560"/>
        <c:axId val="118072832"/>
      </c:scatterChart>
      <c:valAx>
        <c:axId val="118066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Unidades</a:t>
                </a:r>
              </a:p>
            </c:rich>
          </c:tx>
          <c:layout/>
        </c:title>
        <c:numFmt formatCode="0" sourceLinked="1"/>
        <c:majorTickMark val="none"/>
        <c:tickLblPos val="nextTo"/>
        <c:crossAx val="118072832"/>
        <c:crosses val="autoZero"/>
        <c:crossBetween val="midCat"/>
      </c:valAx>
      <c:valAx>
        <c:axId val="1180728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Pesos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80665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1273240</xdr:colOff>
      <xdr:row>76</xdr:row>
      <xdr:rowOff>0</xdr:rowOff>
    </xdr:from>
    <xdr:to>
      <xdr:col>25</xdr:col>
      <xdr:colOff>1370434</xdr:colOff>
      <xdr:row>90</xdr:row>
      <xdr:rowOff>19439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29159</xdr:colOff>
      <xdr:row>109</xdr:row>
      <xdr:rowOff>48597</xdr:rowOff>
    </xdr:from>
    <xdr:to>
      <xdr:col>23</xdr:col>
      <xdr:colOff>29158</xdr:colOff>
      <xdr:row>123</xdr:row>
      <xdr:rowOff>68037</xdr:rowOff>
    </xdr:to>
    <xdr:graphicFrame macro="">
      <xdr:nvGraphicFramePr>
        <xdr:cNvPr id="12" name="1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B108"/>
  <sheetViews>
    <sheetView tabSelected="1" zoomScale="98" zoomScaleNormal="98" workbookViewId="0">
      <selection activeCell="U105" sqref="U105"/>
    </sheetView>
  </sheetViews>
  <sheetFormatPr baseColWidth="10" defaultRowHeight="15"/>
  <cols>
    <col min="3" max="3" width="16.42578125" bestFit="1" customWidth="1"/>
    <col min="6" max="6" width="12.5703125" customWidth="1"/>
    <col min="9" max="9" width="23.5703125" customWidth="1"/>
    <col min="10" max="10" width="18.42578125" bestFit="1" customWidth="1"/>
    <col min="11" max="15" width="19.28515625" bestFit="1" customWidth="1"/>
    <col min="19" max="19" width="23.42578125" customWidth="1"/>
    <col min="20" max="20" width="19.5703125" bestFit="1" customWidth="1"/>
    <col min="21" max="21" width="28.140625" bestFit="1" customWidth="1"/>
    <col min="22" max="22" width="21.140625" customWidth="1"/>
    <col min="23" max="23" width="19.28515625" bestFit="1" customWidth="1"/>
    <col min="24" max="24" width="20.7109375" customWidth="1"/>
    <col min="25" max="25" width="27.140625" customWidth="1"/>
    <col min="26" max="26" width="28.7109375" bestFit="1" customWidth="1"/>
  </cols>
  <sheetData>
    <row r="2" spans="1:25" ht="28.5">
      <c r="A2" s="2" t="s">
        <v>0</v>
      </c>
      <c r="B2" s="1"/>
      <c r="C2" s="1"/>
      <c r="D2" s="1"/>
      <c r="E2" s="1"/>
      <c r="F2" s="1"/>
      <c r="I2" s="15" t="s">
        <v>28</v>
      </c>
      <c r="J2" s="14"/>
      <c r="K2" s="14"/>
      <c r="L2" s="14"/>
      <c r="M2" s="14"/>
      <c r="N2" s="14"/>
      <c r="O2" s="14"/>
      <c r="R2" s="25" t="s">
        <v>53</v>
      </c>
      <c r="S2" s="25"/>
      <c r="T2" s="24"/>
      <c r="U2" s="24"/>
      <c r="V2" s="24"/>
      <c r="W2" s="24"/>
      <c r="X2" s="24"/>
      <c r="Y2" s="24"/>
    </row>
    <row r="3" spans="1:25">
      <c r="A3" s="1"/>
      <c r="B3" s="1"/>
      <c r="C3" s="1"/>
      <c r="D3" s="6" t="s">
        <v>1</v>
      </c>
      <c r="E3" s="6" t="s">
        <v>2</v>
      </c>
      <c r="F3" s="6" t="s">
        <v>3</v>
      </c>
      <c r="I3" s="18" t="s">
        <v>29</v>
      </c>
      <c r="J3" s="45" t="s">
        <v>30</v>
      </c>
      <c r="K3" s="45" t="s">
        <v>31</v>
      </c>
      <c r="L3" s="45" t="s">
        <v>32</v>
      </c>
      <c r="M3" s="45" t="s">
        <v>33</v>
      </c>
      <c r="N3" s="45" t="s">
        <v>34</v>
      </c>
      <c r="O3" s="45" t="s">
        <v>35</v>
      </c>
      <c r="R3" s="24"/>
      <c r="S3" s="24"/>
      <c r="T3" s="61" t="s">
        <v>30</v>
      </c>
      <c r="U3" s="61" t="s">
        <v>31</v>
      </c>
      <c r="V3" s="61" t="s">
        <v>32</v>
      </c>
      <c r="W3" s="61" t="s">
        <v>33</v>
      </c>
      <c r="X3" s="61" t="s">
        <v>34</v>
      </c>
      <c r="Y3" s="61" t="s">
        <v>35</v>
      </c>
    </row>
    <row r="4" spans="1:25">
      <c r="A4" s="39" t="s">
        <v>83</v>
      </c>
      <c r="B4" s="1"/>
      <c r="C4" s="1"/>
      <c r="D4" s="4">
        <v>7250000</v>
      </c>
      <c r="E4" s="4">
        <v>10</v>
      </c>
      <c r="F4" s="3">
        <v>0</v>
      </c>
      <c r="I4" s="14" t="s">
        <v>4</v>
      </c>
      <c r="J4" s="16"/>
      <c r="K4" s="19">
        <f>IF($E$4=0,0,($D$4-($D$4*$F$4))/$E$4)</f>
        <v>725000</v>
      </c>
      <c r="L4" s="19">
        <f t="shared" ref="L4:O4" si="0">IF($E$4=0,0,($D$4-($D$4*$F$4))/$E$4)</f>
        <v>725000</v>
      </c>
      <c r="M4" s="19">
        <f t="shared" si="0"/>
        <v>725000</v>
      </c>
      <c r="N4" s="19">
        <f t="shared" si="0"/>
        <v>725000</v>
      </c>
      <c r="O4" s="19">
        <f t="shared" si="0"/>
        <v>725000</v>
      </c>
      <c r="R4" s="24"/>
      <c r="S4" s="24" t="s">
        <v>54</v>
      </c>
      <c r="T4" s="55">
        <f>J41</f>
        <v>0</v>
      </c>
      <c r="U4" s="55">
        <f t="shared" ref="U4:Y4" si="1">K41</f>
        <v>826920000</v>
      </c>
      <c r="V4" s="55">
        <f t="shared" si="1"/>
        <v>879729600</v>
      </c>
      <c r="W4" s="55">
        <f t="shared" si="1"/>
        <v>935902224</v>
      </c>
      <c r="X4" s="55">
        <f t="shared" si="1"/>
        <v>995667793.91999996</v>
      </c>
      <c r="Y4" s="55">
        <f t="shared" si="1"/>
        <v>1059246306.5599999</v>
      </c>
    </row>
    <row r="5" spans="1:25">
      <c r="A5" s="1"/>
      <c r="B5" s="1"/>
      <c r="C5" s="1"/>
      <c r="D5" s="5"/>
      <c r="E5" s="5"/>
      <c r="F5" s="5"/>
      <c r="I5" s="14"/>
      <c r="J5" s="17"/>
      <c r="K5" s="20"/>
      <c r="L5" s="20"/>
      <c r="M5" s="20"/>
      <c r="N5" s="20"/>
      <c r="O5" s="20"/>
      <c r="R5" s="24"/>
      <c r="S5" s="24"/>
      <c r="T5" s="24"/>
      <c r="U5" s="24"/>
      <c r="V5" s="24"/>
      <c r="W5" s="24"/>
      <c r="X5" s="24"/>
      <c r="Y5" s="24"/>
    </row>
    <row r="6" spans="1:25">
      <c r="A6" s="39" t="s">
        <v>82</v>
      </c>
      <c r="B6" s="1"/>
      <c r="C6" s="1"/>
      <c r="D6" s="4">
        <v>35000000</v>
      </c>
      <c r="E6" s="4">
        <v>5</v>
      </c>
      <c r="F6" s="3">
        <v>0</v>
      </c>
      <c r="I6" s="14" t="s">
        <v>36</v>
      </c>
      <c r="J6" s="16"/>
      <c r="K6" s="19">
        <f>IF($E$6=0,0,($D$6-($D$6*$F$6))/$E$6)</f>
        <v>7000000</v>
      </c>
      <c r="L6" s="19">
        <f t="shared" ref="L6:O6" si="2">IF($E$6=0,0,($D$6-($D$6*$F$6))/$E$6)</f>
        <v>7000000</v>
      </c>
      <c r="M6" s="19">
        <f t="shared" si="2"/>
        <v>7000000</v>
      </c>
      <c r="N6" s="19">
        <f t="shared" si="2"/>
        <v>7000000</v>
      </c>
      <c r="O6" s="19">
        <f t="shared" si="2"/>
        <v>7000000</v>
      </c>
      <c r="R6" s="24"/>
      <c r="S6" s="24" t="s">
        <v>55</v>
      </c>
      <c r="T6" s="55">
        <f>J53</f>
        <v>0</v>
      </c>
      <c r="U6" s="55">
        <f t="shared" ref="U6:Y6" si="3">K53</f>
        <v>422140000</v>
      </c>
      <c r="V6" s="55">
        <f t="shared" si="3"/>
        <v>439650600</v>
      </c>
      <c r="W6" s="55">
        <f t="shared" si="3"/>
        <v>458088120</v>
      </c>
      <c r="X6" s="55">
        <f t="shared" si="3"/>
        <v>477511763.75999999</v>
      </c>
      <c r="Y6" s="55">
        <f t="shared" si="3"/>
        <v>497978288.23000002</v>
      </c>
    </row>
    <row r="7" spans="1:25">
      <c r="A7" s="1"/>
      <c r="B7" s="1"/>
      <c r="C7" s="1"/>
      <c r="D7" s="5"/>
      <c r="E7" s="5"/>
      <c r="F7" s="5"/>
      <c r="I7" s="14"/>
      <c r="J7" s="17"/>
      <c r="K7" s="20"/>
      <c r="L7" s="20"/>
      <c r="M7" s="20"/>
      <c r="N7" s="20"/>
      <c r="O7" s="20"/>
      <c r="R7" s="24"/>
      <c r="S7" s="24"/>
      <c r="T7" s="24"/>
      <c r="U7" s="24"/>
      <c r="V7" s="24"/>
      <c r="W7" s="24"/>
      <c r="X7" s="24"/>
      <c r="Y7" s="24"/>
    </row>
    <row r="8" spans="1:25">
      <c r="A8" s="39" t="s">
        <v>89</v>
      </c>
      <c r="B8" s="1"/>
      <c r="C8" s="1"/>
      <c r="D8" s="4">
        <v>10000000</v>
      </c>
      <c r="E8" s="4">
        <v>5</v>
      </c>
      <c r="F8" s="3">
        <v>0</v>
      </c>
      <c r="I8" s="14" t="s">
        <v>5</v>
      </c>
      <c r="J8" s="16"/>
      <c r="K8" s="19">
        <f>IF($E$8=0,0,($D$8-($D$8*$F$8))/$E$8)</f>
        <v>2000000</v>
      </c>
      <c r="L8" s="19">
        <f t="shared" ref="L8:O8" si="4">IF($E$8=0,0,($D$8-($D$8*$F$8))/$E$8)</f>
        <v>2000000</v>
      </c>
      <c r="M8" s="19">
        <f t="shared" si="4"/>
        <v>2000000</v>
      </c>
      <c r="N8" s="19">
        <f t="shared" si="4"/>
        <v>2000000</v>
      </c>
      <c r="O8" s="19">
        <f t="shared" si="4"/>
        <v>2000000</v>
      </c>
      <c r="R8" s="24"/>
      <c r="S8" s="24" t="s">
        <v>56</v>
      </c>
      <c r="T8" s="54">
        <f>J10</f>
        <v>0</v>
      </c>
      <c r="U8" s="54">
        <f t="shared" ref="U8:Y8" si="5">K10</f>
        <v>9725000</v>
      </c>
      <c r="V8" s="54">
        <f t="shared" si="5"/>
        <v>9725000</v>
      </c>
      <c r="W8" s="54">
        <f t="shared" si="5"/>
        <v>9725000</v>
      </c>
      <c r="X8" s="54">
        <f t="shared" si="5"/>
        <v>9725000</v>
      </c>
      <c r="Y8" s="54">
        <f t="shared" si="5"/>
        <v>9725000</v>
      </c>
    </row>
    <row r="9" spans="1:25">
      <c r="A9" s="1"/>
      <c r="B9" s="1"/>
      <c r="C9" s="1"/>
      <c r="D9" s="5"/>
      <c r="E9" s="5"/>
      <c r="F9" s="5"/>
      <c r="I9" s="14"/>
      <c r="J9" s="17"/>
      <c r="K9" s="20"/>
      <c r="L9" s="20"/>
      <c r="M9" s="20"/>
      <c r="N9" s="20"/>
      <c r="O9" s="20"/>
      <c r="R9" s="24"/>
      <c r="S9" s="24"/>
      <c r="T9" s="24"/>
      <c r="U9" s="24"/>
      <c r="V9" s="24"/>
      <c r="W9" s="24"/>
      <c r="X9" s="24"/>
      <c r="Y9" s="24"/>
    </row>
    <row r="10" spans="1:25">
      <c r="I10" s="18" t="s">
        <v>37</v>
      </c>
      <c r="J10" s="42">
        <f>SUM(J4,J6,J8)</f>
        <v>0</v>
      </c>
      <c r="K10" s="42">
        <f t="shared" ref="K10:O10" si="6">SUM(K4,K6,K8)</f>
        <v>9725000</v>
      </c>
      <c r="L10" s="42">
        <f t="shared" si="6"/>
        <v>9725000</v>
      </c>
      <c r="M10" s="42">
        <f t="shared" si="6"/>
        <v>9725000</v>
      </c>
      <c r="N10" s="42">
        <f t="shared" si="6"/>
        <v>9725000</v>
      </c>
      <c r="O10" s="42">
        <f t="shared" si="6"/>
        <v>9725000</v>
      </c>
      <c r="R10" s="24"/>
      <c r="S10" s="24"/>
      <c r="T10" s="24"/>
      <c r="U10" s="24"/>
      <c r="V10" s="24"/>
      <c r="W10" s="24"/>
      <c r="X10" s="24"/>
      <c r="Y10" s="24"/>
    </row>
    <row r="11" spans="1:25">
      <c r="R11" s="24"/>
      <c r="S11" s="60" t="s">
        <v>57</v>
      </c>
      <c r="T11" s="64">
        <f>T4-T6-T8</f>
        <v>0</v>
      </c>
      <c r="U11" s="64">
        <f t="shared" ref="U11:Y11" si="7">U4-U6-U8</f>
        <v>395055000</v>
      </c>
      <c r="V11" s="64">
        <f t="shared" si="7"/>
        <v>430354000</v>
      </c>
      <c r="W11" s="64">
        <f t="shared" si="7"/>
        <v>468089104</v>
      </c>
      <c r="X11" s="64">
        <f t="shared" si="7"/>
        <v>508431030.15999997</v>
      </c>
      <c r="Y11" s="64">
        <f t="shared" si="7"/>
        <v>551543018.32999992</v>
      </c>
    </row>
    <row r="13" spans="1:25" ht="26.25">
      <c r="A13" s="8" t="s">
        <v>6</v>
      </c>
      <c r="B13" s="8"/>
      <c r="C13" s="8"/>
      <c r="D13" s="7"/>
      <c r="R13" s="24"/>
      <c r="S13" s="24" t="s">
        <v>58</v>
      </c>
      <c r="T13" s="59">
        <f t="shared" ref="T13:Y13" si="8">IF(T11&gt;0,T11*$C$49,0)</f>
        <v>0</v>
      </c>
      <c r="U13" s="59">
        <f t="shared" si="8"/>
        <v>130368150</v>
      </c>
      <c r="V13" s="59">
        <f t="shared" si="8"/>
        <v>142016820</v>
      </c>
      <c r="W13" s="59">
        <f t="shared" si="8"/>
        <v>154469404.31999999</v>
      </c>
      <c r="X13" s="59">
        <f t="shared" si="8"/>
        <v>167782239.95280001</v>
      </c>
      <c r="Y13" s="59">
        <f t="shared" si="8"/>
        <v>182009196.04889998</v>
      </c>
    </row>
    <row r="14" spans="1:25" ht="15.75">
      <c r="I14" s="53" t="s">
        <v>38</v>
      </c>
      <c r="R14" s="24"/>
      <c r="S14" s="24"/>
      <c r="T14" s="24"/>
      <c r="U14" s="24"/>
      <c r="V14" s="24"/>
      <c r="W14" s="24"/>
      <c r="X14" s="24"/>
      <c r="Y14" s="24"/>
    </row>
    <row r="15" spans="1:25">
      <c r="A15" s="7"/>
      <c r="B15" s="7"/>
      <c r="C15" s="7"/>
      <c r="D15" s="7"/>
      <c r="J15" s="22"/>
      <c r="K15" s="21"/>
      <c r="L15" s="21"/>
      <c r="M15" s="21"/>
      <c r="N15" s="21"/>
      <c r="O15" s="21"/>
      <c r="R15" s="24"/>
      <c r="S15" s="27" t="s">
        <v>59</v>
      </c>
      <c r="T15" s="62">
        <f>T11-T13</f>
        <v>0</v>
      </c>
      <c r="U15" s="62">
        <f t="shared" ref="U15:Y15" si="9">U11-U13</f>
        <v>264686850</v>
      </c>
      <c r="V15" s="62">
        <f t="shared" si="9"/>
        <v>288337180</v>
      </c>
      <c r="W15" s="62">
        <f t="shared" si="9"/>
        <v>313619699.68000001</v>
      </c>
      <c r="X15" s="62">
        <f t="shared" si="9"/>
        <v>340648790.20719993</v>
      </c>
      <c r="Y15" s="62">
        <f t="shared" si="9"/>
        <v>369533822.28109992</v>
      </c>
    </row>
    <row r="16" spans="1:25">
      <c r="A16" s="40" t="s">
        <v>84</v>
      </c>
      <c r="B16" s="9"/>
      <c r="C16" s="7"/>
      <c r="D16" s="7"/>
      <c r="I16" s="21"/>
      <c r="J16" s="45" t="s">
        <v>30</v>
      </c>
      <c r="K16" s="45" t="s">
        <v>31</v>
      </c>
      <c r="L16" s="45" t="s">
        <v>32</v>
      </c>
      <c r="M16" s="45" t="s">
        <v>33</v>
      </c>
      <c r="N16" s="45" t="s">
        <v>34</v>
      </c>
      <c r="O16" s="45" t="s">
        <v>35</v>
      </c>
      <c r="R16" s="24"/>
      <c r="S16" s="24"/>
      <c r="T16" s="24"/>
      <c r="U16" s="24"/>
      <c r="V16" s="24"/>
      <c r="W16" s="24"/>
      <c r="X16" s="24"/>
      <c r="Y16" s="24"/>
    </row>
    <row r="17" spans="1:25">
      <c r="A17" s="7"/>
      <c r="B17" s="7"/>
      <c r="C17" s="7"/>
      <c r="D17" s="7"/>
      <c r="I17" s="22"/>
      <c r="J17" s="44">
        <v>0</v>
      </c>
      <c r="K17" s="44">
        <v>1</v>
      </c>
      <c r="L17" s="44">
        <v>2</v>
      </c>
      <c r="M17" s="44">
        <v>3</v>
      </c>
      <c r="N17" s="44">
        <v>4</v>
      </c>
      <c r="O17" s="44">
        <v>5</v>
      </c>
      <c r="R17" s="24"/>
      <c r="S17" s="24"/>
      <c r="T17" s="24"/>
      <c r="U17" s="24"/>
      <c r="V17" s="24"/>
      <c r="W17" s="24"/>
      <c r="X17" s="24"/>
      <c r="Y17" s="24"/>
    </row>
    <row r="18" spans="1:25">
      <c r="A18" s="7" t="s">
        <v>7</v>
      </c>
      <c r="B18" s="7"/>
      <c r="C18" s="65">
        <v>150787000</v>
      </c>
      <c r="D18" s="7"/>
      <c r="I18" s="22" t="s">
        <v>39</v>
      </c>
      <c r="J18" s="46">
        <f>C18</f>
        <v>150787000</v>
      </c>
      <c r="K18" s="46">
        <f>J18-K21</f>
        <v>125549344.28896761</v>
      </c>
      <c r="L18" s="46">
        <f t="shared" ref="L18:N18" si="10">K18-L21</f>
        <v>98061539.142733276</v>
      </c>
      <c r="M18" s="46">
        <f t="shared" si="10"/>
        <v>68122964.799354285</v>
      </c>
      <c r="N18" s="46">
        <f t="shared" si="10"/>
        <v>35515114.556468636</v>
      </c>
      <c r="O18" s="47">
        <f>N18-O21</f>
        <v>0</v>
      </c>
      <c r="R18" s="24"/>
      <c r="S18" s="24" t="s">
        <v>60</v>
      </c>
      <c r="T18" s="54">
        <f>J10</f>
        <v>0</v>
      </c>
      <c r="U18" s="54">
        <f t="shared" ref="U18:Y18" si="11">K10</f>
        <v>9725000</v>
      </c>
      <c r="V18" s="54">
        <f t="shared" si="11"/>
        <v>9725000</v>
      </c>
      <c r="W18" s="54">
        <f t="shared" si="11"/>
        <v>9725000</v>
      </c>
      <c r="X18" s="54">
        <f t="shared" si="11"/>
        <v>9725000</v>
      </c>
      <c r="Y18" s="54">
        <f t="shared" si="11"/>
        <v>9725000</v>
      </c>
    </row>
    <row r="19" spans="1:25">
      <c r="A19" s="7" t="s">
        <v>8</v>
      </c>
      <c r="B19" s="7"/>
      <c r="C19" s="12">
        <v>5</v>
      </c>
      <c r="D19" s="7"/>
      <c r="I19" s="22" t="s">
        <v>40</v>
      </c>
      <c r="J19" s="46"/>
      <c r="K19" s="46">
        <f>J18*$C$20</f>
        <v>13443930.243389264</v>
      </c>
      <c r="L19" s="46">
        <f t="shared" ref="L19:O19" si="12">K18*$C$20</f>
        <v>11193780.808187328</v>
      </c>
      <c r="M19" s="46">
        <f t="shared" si="12"/>
        <v>8743011.6110426765</v>
      </c>
      <c r="N19" s="46">
        <f t="shared" si="12"/>
        <v>6073735.7115360163</v>
      </c>
      <c r="O19" s="46">
        <f t="shared" si="12"/>
        <v>3166471.397953026</v>
      </c>
      <c r="R19" s="24"/>
      <c r="S19" s="24"/>
      <c r="T19" s="24"/>
      <c r="U19" s="24"/>
      <c r="V19" s="24"/>
      <c r="W19" s="24"/>
      <c r="X19" s="24"/>
      <c r="Y19" s="24"/>
    </row>
    <row r="20" spans="1:25">
      <c r="A20" s="7" t="s">
        <v>9</v>
      </c>
      <c r="B20" s="7"/>
      <c r="C20" s="49">
        <v>8.9158417127399997E-2</v>
      </c>
      <c r="D20" s="7"/>
      <c r="F20" s="71"/>
      <c r="I20" s="22" t="s">
        <v>41</v>
      </c>
      <c r="J20" s="46"/>
      <c r="K20" s="46">
        <f>IF($C$19&gt;=K17,$C$21,0)</f>
        <v>38681585.954421662</v>
      </c>
      <c r="L20" s="46">
        <f t="shared" ref="L20:O20" si="13">IF($C$19&gt;=L17,$C$21,0)</f>
        <v>38681585.954421662</v>
      </c>
      <c r="M20" s="46">
        <f t="shared" si="13"/>
        <v>38681585.954421662</v>
      </c>
      <c r="N20" s="46">
        <f t="shared" si="13"/>
        <v>38681585.954421662</v>
      </c>
      <c r="O20" s="46">
        <f t="shared" si="13"/>
        <v>38681585.954421662</v>
      </c>
      <c r="R20" s="24"/>
      <c r="S20" s="24" t="s">
        <v>42</v>
      </c>
      <c r="T20" s="26">
        <f t="shared" ref="T20:Y20" si="14">J34</f>
        <v>0</v>
      </c>
      <c r="U20" s="41">
        <f t="shared" si="14"/>
        <v>25237655.711032398</v>
      </c>
      <c r="V20" s="41">
        <f t="shared" si="14"/>
        <v>27487805.146234334</v>
      </c>
      <c r="W20" s="41">
        <f t="shared" si="14"/>
        <v>29938574.343378983</v>
      </c>
      <c r="X20" s="41">
        <f t="shared" si="14"/>
        <v>32607850.242885645</v>
      </c>
      <c r="Y20" s="41">
        <f t="shared" si="14"/>
        <v>35515114.556468636</v>
      </c>
    </row>
    <row r="21" spans="1:25">
      <c r="A21" s="7" t="s">
        <v>10</v>
      </c>
      <c r="B21" s="7"/>
      <c r="C21" s="43">
        <f>PMT(C20,C19,-C18)</f>
        <v>38681585.954421662</v>
      </c>
      <c r="D21" s="7"/>
      <c r="I21" s="22" t="s">
        <v>42</v>
      </c>
      <c r="J21" s="46"/>
      <c r="K21" s="46">
        <f>K20-K19</f>
        <v>25237655.711032398</v>
      </c>
      <c r="L21" s="46">
        <f t="shared" ref="L21:O21" si="15">L20-L19</f>
        <v>27487805.146234334</v>
      </c>
      <c r="M21" s="46">
        <f t="shared" si="15"/>
        <v>29938574.343378983</v>
      </c>
      <c r="N21" s="46">
        <f t="shared" si="15"/>
        <v>32607850.242885645</v>
      </c>
      <c r="O21" s="46">
        <f t="shared" si="15"/>
        <v>35515114.556468636</v>
      </c>
      <c r="R21" s="24"/>
      <c r="S21" s="24"/>
      <c r="T21" s="24"/>
      <c r="U21" s="24"/>
      <c r="V21" s="24"/>
      <c r="W21" s="24"/>
      <c r="X21" s="24"/>
      <c r="Y21" s="24"/>
    </row>
    <row r="22" spans="1:25">
      <c r="A22" s="7"/>
      <c r="B22" s="7"/>
      <c r="C22" s="7"/>
      <c r="D22" s="7"/>
      <c r="I22" s="21"/>
      <c r="J22" s="21"/>
      <c r="K22" s="21"/>
      <c r="L22" s="21"/>
      <c r="M22" s="21"/>
      <c r="N22" s="21"/>
      <c r="O22" s="21"/>
      <c r="R22" s="24"/>
      <c r="S22" s="60" t="s">
        <v>61</v>
      </c>
      <c r="T22" s="50">
        <f>T15+T18-T20</f>
        <v>0</v>
      </c>
      <c r="U22" s="50">
        <f t="shared" ref="U22:Y22" si="16">U15+U18-U20</f>
        <v>249174194.28896761</v>
      </c>
      <c r="V22" s="50">
        <f t="shared" si="16"/>
        <v>270574374.85376567</v>
      </c>
      <c r="W22" s="50">
        <f t="shared" si="16"/>
        <v>293406125.33662105</v>
      </c>
      <c r="X22" s="50">
        <f t="shared" si="16"/>
        <v>317765939.96431428</v>
      </c>
      <c r="Y22" s="50">
        <f t="shared" si="16"/>
        <v>343743707.72463131</v>
      </c>
    </row>
    <row r="23" spans="1:25">
      <c r="A23" s="9" t="s">
        <v>11</v>
      </c>
      <c r="B23" s="9"/>
      <c r="C23" s="9"/>
      <c r="D23" s="9"/>
      <c r="I23" s="21"/>
      <c r="J23" s="45" t="s">
        <v>30</v>
      </c>
      <c r="K23" s="45" t="s">
        <v>31</v>
      </c>
      <c r="L23" s="45" t="s">
        <v>32</v>
      </c>
      <c r="M23" s="45" t="s">
        <v>43</v>
      </c>
      <c r="N23" s="45" t="s">
        <v>44</v>
      </c>
      <c r="O23" s="45" t="s">
        <v>35</v>
      </c>
      <c r="R23" s="24"/>
      <c r="S23" s="24"/>
      <c r="T23" s="24"/>
      <c r="U23" s="24"/>
      <c r="V23" s="24"/>
      <c r="W23" s="24"/>
      <c r="X23" s="24"/>
      <c r="Y23" s="24"/>
    </row>
    <row r="24" spans="1:25">
      <c r="A24" s="7"/>
      <c r="B24" s="7"/>
      <c r="C24" s="7"/>
      <c r="D24" s="7"/>
      <c r="F24" s="72"/>
      <c r="I24" s="21"/>
      <c r="J24" s="21">
        <v>0</v>
      </c>
      <c r="K24" s="21">
        <v>1</v>
      </c>
      <c r="L24" s="21">
        <v>2</v>
      </c>
      <c r="M24" s="21">
        <v>3</v>
      </c>
      <c r="N24" s="21">
        <v>4</v>
      </c>
      <c r="O24" s="21">
        <v>5</v>
      </c>
      <c r="R24" s="24"/>
      <c r="S24" s="24" t="s">
        <v>62</v>
      </c>
      <c r="T24" s="59">
        <f>D4+D6+D8</f>
        <v>52250000</v>
      </c>
      <c r="U24" s="24"/>
      <c r="V24" s="24"/>
      <c r="W24" s="24"/>
      <c r="X24" s="24"/>
      <c r="Y24" s="24"/>
    </row>
    <row r="25" spans="1:25">
      <c r="A25" s="7" t="s">
        <v>12</v>
      </c>
      <c r="B25" s="7"/>
      <c r="C25" s="12">
        <v>0</v>
      </c>
      <c r="D25" s="7"/>
      <c r="I25" s="22" t="s">
        <v>39</v>
      </c>
      <c r="J25" s="46">
        <f>C25</f>
        <v>0</v>
      </c>
      <c r="K25" s="46">
        <f t="shared" ref="K25:O25" si="17">D25</f>
        <v>0</v>
      </c>
      <c r="L25" s="46">
        <f t="shared" si="17"/>
        <v>0</v>
      </c>
      <c r="M25" s="46">
        <f t="shared" si="17"/>
        <v>0</v>
      </c>
      <c r="N25" s="46">
        <f t="shared" si="17"/>
        <v>0</v>
      </c>
      <c r="O25" s="47">
        <f t="shared" si="17"/>
        <v>0</v>
      </c>
      <c r="R25" s="24"/>
      <c r="S25" s="24"/>
      <c r="T25" s="24"/>
      <c r="U25" s="24"/>
      <c r="V25" s="24"/>
      <c r="W25" s="24"/>
      <c r="X25" s="24"/>
      <c r="Y25" s="24"/>
    </row>
    <row r="26" spans="1:25">
      <c r="A26" s="7" t="s">
        <v>8</v>
      </c>
      <c r="B26" s="7"/>
      <c r="C26" s="12"/>
      <c r="D26" s="7"/>
      <c r="F26" s="70"/>
      <c r="I26" s="22" t="s">
        <v>45</v>
      </c>
      <c r="J26" s="46"/>
      <c r="K26" s="46">
        <v>0</v>
      </c>
      <c r="L26" s="46">
        <v>0</v>
      </c>
      <c r="M26" s="46">
        <v>0</v>
      </c>
      <c r="N26" s="46">
        <v>0</v>
      </c>
      <c r="O26" s="46">
        <v>0</v>
      </c>
      <c r="R26" s="24"/>
      <c r="S26" s="24" t="s">
        <v>63</v>
      </c>
      <c r="T26" s="28">
        <f>J60</f>
        <v>0</v>
      </c>
      <c r="U26" s="28">
        <f t="shared" ref="U26:Y26" si="18">K60</f>
        <v>0</v>
      </c>
      <c r="V26" s="28">
        <f t="shared" si="18"/>
        <v>0</v>
      </c>
      <c r="W26" s="28">
        <f t="shared" si="18"/>
        <v>0</v>
      </c>
      <c r="X26" s="28">
        <f t="shared" si="18"/>
        <v>0</v>
      </c>
      <c r="Y26" s="28">
        <f t="shared" si="18"/>
        <v>0</v>
      </c>
    </row>
    <row r="27" spans="1:25">
      <c r="A27" s="7" t="s">
        <v>9</v>
      </c>
      <c r="B27" s="7"/>
      <c r="C27" s="11"/>
      <c r="D27" s="7"/>
      <c r="I27" s="22" t="s">
        <v>41</v>
      </c>
      <c r="J27" s="46"/>
      <c r="K27" s="46">
        <v>0</v>
      </c>
      <c r="L27" s="46">
        <v>0</v>
      </c>
      <c r="M27" s="46">
        <v>0</v>
      </c>
      <c r="N27" s="46">
        <v>0</v>
      </c>
      <c r="O27" s="46">
        <v>0</v>
      </c>
    </row>
    <row r="28" spans="1:25">
      <c r="A28" s="7" t="s">
        <v>13</v>
      </c>
      <c r="B28" s="7"/>
      <c r="C28" s="12"/>
      <c r="D28" s="7"/>
      <c r="I28" s="22" t="s">
        <v>42</v>
      </c>
      <c r="J28" s="46"/>
      <c r="K28" s="46">
        <v>0</v>
      </c>
      <c r="L28" s="46">
        <v>0</v>
      </c>
      <c r="M28" s="46">
        <v>0</v>
      </c>
      <c r="N28" s="46">
        <v>0</v>
      </c>
      <c r="O28" s="46">
        <v>0</v>
      </c>
      <c r="R28" s="24"/>
      <c r="S28" s="24" t="s">
        <v>64</v>
      </c>
      <c r="T28" s="59">
        <f>C18+C25</f>
        <v>150787000</v>
      </c>
      <c r="U28" s="24"/>
      <c r="V28" s="24"/>
      <c r="W28" s="24"/>
      <c r="X28" s="24"/>
      <c r="Y28" s="24"/>
    </row>
    <row r="29" spans="1:25">
      <c r="R29" s="24"/>
      <c r="S29" s="24"/>
      <c r="T29" s="24"/>
      <c r="U29" s="24"/>
      <c r="V29" s="24"/>
      <c r="W29" s="24"/>
      <c r="X29" s="24"/>
      <c r="Y29" s="24"/>
    </row>
    <row r="30" spans="1:25">
      <c r="A30" s="9" t="s">
        <v>14</v>
      </c>
      <c r="B30" s="9"/>
      <c r="C30" s="7"/>
      <c r="D30" s="7"/>
      <c r="I30" s="21"/>
      <c r="J30" s="21"/>
      <c r="K30" s="21"/>
      <c r="L30" s="21"/>
      <c r="M30" s="21"/>
      <c r="N30" s="21"/>
      <c r="O30" s="21"/>
      <c r="R30" s="24"/>
      <c r="S30" s="63" t="s">
        <v>65</v>
      </c>
      <c r="T30" s="50">
        <f>T24+T26+T28</f>
        <v>203037000</v>
      </c>
      <c r="U30" s="50">
        <f t="shared" ref="U30:Y30" si="19">U24+U26+U28</f>
        <v>0</v>
      </c>
      <c r="V30" s="50">
        <f t="shared" si="19"/>
        <v>0</v>
      </c>
      <c r="W30" s="50">
        <f t="shared" si="19"/>
        <v>0</v>
      </c>
      <c r="X30" s="50">
        <f t="shared" si="19"/>
        <v>0</v>
      </c>
      <c r="Y30" s="50">
        <f t="shared" si="19"/>
        <v>0</v>
      </c>
    </row>
    <row r="31" spans="1:25">
      <c r="A31" s="7"/>
      <c r="B31" s="7"/>
      <c r="C31" s="7"/>
      <c r="D31" s="7"/>
      <c r="I31" s="21"/>
      <c r="J31" s="45" t="s">
        <v>30</v>
      </c>
      <c r="K31" s="45" t="s">
        <v>31</v>
      </c>
      <c r="L31" s="45" t="s">
        <v>32</v>
      </c>
      <c r="M31" s="45" t="s">
        <v>33</v>
      </c>
      <c r="N31" s="45" t="s">
        <v>34</v>
      </c>
      <c r="O31" s="45" t="s">
        <v>35</v>
      </c>
      <c r="R31" s="24"/>
      <c r="S31" s="24"/>
      <c r="T31" s="24"/>
      <c r="U31" s="24"/>
      <c r="V31" s="24"/>
      <c r="W31" s="24"/>
      <c r="X31" s="24"/>
      <c r="Y31" s="24"/>
    </row>
    <row r="32" spans="1:25">
      <c r="A32" s="7" t="s">
        <v>15</v>
      </c>
      <c r="B32" s="7"/>
      <c r="C32" s="12">
        <v>41346</v>
      </c>
      <c r="D32" s="7"/>
      <c r="I32" s="22" t="s">
        <v>46</v>
      </c>
      <c r="J32" s="46">
        <f>J19</f>
        <v>0</v>
      </c>
      <c r="K32" s="46">
        <f t="shared" ref="K32:O32" si="20">K19</f>
        <v>13443930.243389264</v>
      </c>
      <c r="L32" s="46">
        <f t="shared" si="20"/>
        <v>11193780.808187328</v>
      </c>
      <c r="M32" s="46">
        <f t="shared" si="20"/>
        <v>8743011.6110426765</v>
      </c>
      <c r="N32" s="46">
        <f t="shared" si="20"/>
        <v>6073735.7115360163</v>
      </c>
      <c r="O32" s="46">
        <f t="shared" si="20"/>
        <v>3166471.397953026</v>
      </c>
      <c r="R32" s="24"/>
      <c r="S32" s="24" t="s">
        <v>66</v>
      </c>
      <c r="T32" s="24"/>
      <c r="U32" s="24"/>
      <c r="V32" s="24"/>
      <c r="W32" s="24"/>
      <c r="X32" s="24"/>
      <c r="Y32" s="28">
        <f>T24-T18:Y18</f>
        <v>42525000</v>
      </c>
    </row>
    <row r="33" spans="1:25">
      <c r="A33" s="7" t="s">
        <v>16</v>
      </c>
      <c r="B33" s="7"/>
      <c r="C33" s="12">
        <v>20000</v>
      </c>
      <c r="D33" s="7"/>
      <c r="G33" s="39"/>
      <c r="I33" s="22"/>
      <c r="J33" s="23"/>
      <c r="K33" s="23"/>
      <c r="L33" s="23"/>
      <c r="M33" s="23"/>
      <c r="N33" s="23"/>
      <c r="O33" s="23"/>
    </row>
    <row r="34" spans="1:25">
      <c r="A34" s="7" t="s">
        <v>17</v>
      </c>
      <c r="B34" s="7"/>
      <c r="C34" s="48">
        <v>4.2999999999999997E-2</v>
      </c>
      <c r="D34" s="7"/>
      <c r="I34" s="22" t="s">
        <v>42</v>
      </c>
      <c r="J34" s="46">
        <f>J21</f>
        <v>0</v>
      </c>
      <c r="K34" s="46">
        <f t="shared" ref="K34:O34" si="21">K21</f>
        <v>25237655.711032398</v>
      </c>
      <c r="L34" s="46">
        <f t="shared" si="21"/>
        <v>27487805.146234334</v>
      </c>
      <c r="M34" s="46">
        <f t="shared" si="21"/>
        <v>29938574.343378983</v>
      </c>
      <c r="N34" s="46">
        <f t="shared" si="21"/>
        <v>32607850.242885645</v>
      </c>
      <c r="O34" s="46">
        <f t="shared" si="21"/>
        <v>35515114.556468636</v>
      </c>
      <c r="R34" s="24"/>
      <c r="S34" s="24" t="s">
        <v>67</v>
      </c>
      <c r="T34" s="24"/>
      <c r="U34" s="24"/>
      <c r="V34" s="24"/>
      <c r="W34" s="24"/>
      <c r="X34" s="24"/>
      <c r="Y34" s="26">
        <f>O18+O25</f>
        <v>0</v>
      </c>
    </row>
    <row r="35" spans="1:25">
      <c r="R35" s="24"/>
      <c r="S35" s="24"/>
      <c r="T35" s="24"/>
      <c r="U35" s="24"/>
      <c r="V35" s="24"/>
      <c r="W35" s="24"/>
      <c r="X35" s="24"/>
      <c r="Y35" s="24"/>
    </row>
    <row r="36" spans="1:25">
      <c r="A36" s="9" t="s">
        <v>18</v>
      </c>
      <c r="B36" s="9"/>
      <c r="C36" s="9"/>
      <c r="D36" s="7"/>
      <c r="I36" s="21"/>
      <c r="J36" s="21"/>
      <c r="K36" s="21"/>
      <c r="L36" s="21"/>
      <c r="M36" s="21"/>
      <c r="N36" s="21"/>
      <c r="O36" s="21"/>
      <c r="R36" s="24"/>
      <c r="S36" s="24" t="s">
        <v>68</v>
      </c>
      <c r="T36" s="24"/>
      <c r="U36" s="24"/>
      <c r="V36" s="24"/>
      <c r="W36" s="24"/>
      <c r="X36" s="24"/>
      <c r="Y36" s="59"/>
    </row>
    <row r="37" spans="1:25">
      <c r="A37" s="7"/>
      <c r="B37" s="7"/>
      <c r="C37" s="7"/>
      <c r="D37" s="7"/>
      <c r="I37" s="21"/>
      <c r="J37" s="45" t="s">
        <v>30</v>
      </c>
      <c r="K37" s="45" t="s">
        <v>31</v>
      </c>
      <c r="L37" s="45" t="s">
        <v>32</v>
      </c>
      <c r="M37" s="45" t="s">
        <v>33</v>
      </c>
      <c r="N37" s="45" t="s">
        <v>34</v>
      </c>
      <c r="O37" s="45" t="s">
        <v>35</v>
      </c>
      <c r="R37" s="24"/>
      <c r="S37" s="24"/>
      <c r="T37" s="24"/>
      <c r="U37" s="24"/>
      <c r="V37" s="24"/>
      <c r="W37" s="24"/>
      <c r="X37" s="24"/>
      <c r="Y37" s="24"/>
    </row>
    <row r="38" spans="1:25">
      <c r="A38" s="10" t="s">
        <v>19</v>
      </c>
      <c r="B38" s="10"/>
      <c r="C38" s="69">
        <v>5000</v>
      </c>
      <c r="D38" s="7"/>
      <c r="I38" s="22" t="s">
        <v>47</v>
      </c>
      <c r="J38" s="33"/>
      <c r="K38" s="33">
        <f>C32</f>
        <v>41346</v>
      </c>
      <c r="L38" s="33">
        <f>ROUND(K38*(1+$C$34),0)</f>
        <v>43124</v>
      </c>
      <c r="M38" s="33">
        <f>ROUND(L38*(1+$C$34),0)</f>
        <v>44978</v>
      </c>
      <c r="N38" s="33">
        <f>ROUND(M38*(1+$C$34),0)</f>
        <v>46912</v>
      </c>
      <c r="O38" s="33">
        <f>ROUND(N38*(1+$C$34),0)</f>
        <v>48929</v>
      </c>
      <c r="R38" s="24"/>
      <c r="S38" s="29" t="s">
        <v>69</v>
      </c>
      <c r="T38" s="30">
        <f>T22-T30</f>
        <v>-203037000</v>
      </c>
      <c r="U38" s="30">
        <f t="shared" ref="U38:Y38" si="22">U22-U30</f>
        <v>249174194.28896761</v>
      </c>
      <c r="V38" s="30">
        <f t="shared" si="22"/>
        <v>270574374.85376567</v>
      </c>
      <c r="W38" s="30">
        <f t="shared" si="22"/>
        <v>293406125.33662105</v>
      </c>
      <c r="X38" s="30">
        <f t="shared" si="22"/>
        <v>317765939.96431428</v>
      </c>
      <c r="Y38" s="30">
        <f t="shared" si="22"/>
        <v>343743707.72463131</v>
      </c>
    </row>
    <row r="39" spans="1:25">
      <c r="A39" s="7"/>
      <c r="B39" s="7"/>
      <c r="C39" s="7"/>
      <c r="D39" s="7"/>
      <c r="G39" s="39"/>
      <c r="I39" s="22" t="s">
        <v>48</v>
      </c>
      <c r="J39" s="33"/>
      <c r="K39" s="46">
        <f>C33</f>
        <v>20000</v>
      </c>
      <c r="L39" s="46">
        <f>ROUND(K39*(1+$C$46),2)</f>
        <v>20400</v>
      </c>
      <c r="M39" s="46">
        <f t="shared" ref="M39:O39" si="23">ROUND(L39*(1+$C$46),2)</f>
        <v>20808</v>
      </c>
      <c r="N39" s="46">
        <f t="shared" si="23"/>
        <v>21224.16</v>
      </c>
      <c r="O39" s="46">
        <f t="shared" si="23"/>
        <v>21648.639999999999</v>
      </c>
      <c r="R39" s="24"/>
      <c r="T39" s="24"/>
      <c r="U39" s="24"/>
      <c r="V39" s="24"/>
      <c r="W39" s="24"/>
      <c r="X39" s="24"/>
      <c r="Y39" s="24"/>
    </row>
    <row r="40" spans="1:25">
      <c r="A40" s="9" t="s">
        <v>20</v>
      </c>
      <c r="B40" s="9"/>
      <c r="C40" s="9"/>
      <c r="D40" s="7"/>
      <c r="I40" s="22"/>
      <c r="J40" s="21"/>
      <c r="K40" s="21"/>
      <c r="L40" s="21"/>
      <c r="M40" s="21"/>
      <c r="N40" s="21"/>
      <c r="O40" s="21"/>
      <c r="R40" s="24"/>
      <c r="T40" s="24"/>
      <c r="U40" s="24"/>
      <c r="V40" s="24"/>
      <c r="W40" s="24"/>
      <c r="X40" s="24"/>
      <c r="Y40" s="59"/>
    </row>
    <row r="41" spans="1:25">
      <c r="A41" s="7"/>
      <c r="B41" s="7"/>
      <c r="C41" s="7"/>
      <c r="D41" s="7"/>
      <c r="I41" s="60" t="s">
        <v>49</v>
      </c>
      <c r="J41" s="16"/>
      <c r="K41" s="19">
        <f>K38*K39</f>
        <v>826920000</v>
      </c>
      <c r="L41" s="19">
        <f t="shared" ref="L41:O41" si="24">L38*L39</f>
        <v>879729600</v>
      </c>
      <c r="M41" s="19">
        <f t="shared" si="24"/>
        <v>935902224</v>
      </c>
      <c r="N41" s="19">
        <f t="shared" si="24"/>
        <v>995667793.91999996</v>
      </c>
      <c r="O41" s="19">
        <f t="shared" si="24"/>
        <v>1059246306.5599999</v>
      </c>
      <c r="R41" s="24"/>
      <c r="T41" s="24"/>
      <c r="U41" s="24"/>
      <c r="V41" s="24"/>
      <c r="W41" s="24"/>
      <c r="X41" s="24"/>
      <c r="Y41" s="24"/>
    </row>
    <row r="42" spans="1:25">
      <c r="A42" s="7" t="s">
        <v>21</v>
      </c>
      <c r="B42" s="7"/>
      <c r="C42" s="65">
        <v>215410000</v>
      </c>
      <c r="D42" s="7"/>
      <c r="F42" s="39"/>
      <c r="I42" s="21"/>
      <c r="J42" s="21"/>
      <c r="K42" s="21"/>
      <c r="L42" s="21"/>
      <c r="M42" s="21"/>
      <c r="N42" s="21"/>
      <c r="O42" s="21"/>
      <c r="R42" s="24"/>
      <c r="T42" s="107"/>
      <c r="U42" s="107"/>
      <c r="V42" s="107"/>
      <c r="W42" s="107"/>
      <c r="X42" s="107"/>
      <c r="Y42" s="107"/>
    </row>
    <row r="43" spans="1:25">
      <c r="A43" s="7"/>
      <c r="B43" s="7"/>
      <c r="C43" s="7"/>
      <c r="D43" s="7"/>
      <c r="I43" s="21"/>
      <c r="J43" s="45" t="s">
        <v>30</v>
      </c>
      <c r="K43" s="45" t="s">
        <v>31</v>
      </c>
      <c r="L43" s="45" t="s">
        <v>32</v>
      </c>
      <c r="M43" s="45" t="s">
        <v>33</v>
      </c>
      <c r="N43" s="45" t="s">
        <v>34</v>
      </c>
      <c r="O43" s="45" t="s">
        <v>35</v>
      </c>
    </row>
    <row r="44" spans="1:25">
      <c r="A44" s="9" t="s">
        <v>22</v>
      </c>
      <c r="B44" s="9"/>
      <c r="C44" s="7"/>
      <c r="D44" s="7"/>
      <c r="I44" s="22" t="s">
        <v>47</v>
      </c>
      <c r="J44" s="33"/>
      <c r="K44" s="33">
        <f>K38</f>
        <v>41346</v>
      </c>
      <c r="L44" s="33">
        <f t="shared" ref="L44:O44" si="25">L38</f>
        <v>43124</v>
      </c>
      <c r="M44" s="33">
        <f t="shared" si="25"/>
        <v>44978</v>
      </c>
      <c r="N44" s="33">
        <f t="shared" si="25"/>
        <v>46912</v>
      </c>
      <c r="O44" s="33">
        <f t="shared" si="25"/>
        <v>48929</v>
      </c>
    </row>
    <row r="45" spans="1:25">
      <c r="A45" s="7"/>
      <c r="B45" s="7"/>
      <c r="C45" s="7"/>
      <c r="D45" s="7"/>
      <c r="I45" s="22" t="s">
        <v>50</v>
      </c>
      <c r="J45" s="33"/>
      <c r="K45" s="56">
        <v>5000</v>
      </c>
      <c r="L45" s="56">
        <f>ROUND(K45*(1+$C$46),2)</f>
        <v>5100</v>
      </c>
      <c r="M45" s="56">
        <f t="shared" ref="M45:O45" si="26">ROUND(L45*(1+$C$46),2)</f>
        <v>5202</v>
      </c>
      <c r="N45" s="56">
        <f t="shared" si="26"/>
        <v>5306.04</v>
      </c>
      <c r="O45" s="56">
        <f t="shared" si="26"/>
        <v>5412.16</v>
      </c>
    </row>
    <row r="46" spans="1:25" ht="23.25">
      <c r="A46" s="7" t="s">
        <v>23</v>
      </c>
      <c r="B46" s="7"/>
      <c r="C46" s="48">
        <v>0.02</v>
      </c>
      <c r="D46" s="7"/>
      <c r="I46" s="21"/>
      <c r="J46" s="21"/>
      <c r="K46" s="21"/>
      <c r="L46" s="21"/>
      <c r="M46" s="21"/>
      <c r="N46" s="21"/>
      <c r="O46" s="21"/>
      <c r="S46" s="32" t="s">
        <v>70</v>
      </c>
      <c r="T46" s="32"/>
    </row>
    <row r="47" spans="1:25">
      <c r="A47" s="7"/>
      <c r="B47" s="7"/>
      <c r="C47" s="7"/>
      <c r="D47" s="7"/>
      <c r="I47" s="22" t="s">
        <v>51</v>
      </c>
      <c r="J47" s="33"/>
      <c r="K47" s="57">
        <f>K44*K45</f>
        <v>206730000</v>
      </c>
      <c r="L47" s="57">
        <f t="shared" ref="L47:O47" si="27">L44*L45</f>
        <v>219932400</v>
      </c>
      <c r="M47" s="57">
        <f t="shared" si="27"/>
        <v>233975556</v>
      </c>
      <c r="N47" s="57">
        <f t="shared" si="27"/>
        <v>248916948.47999999</v>
      </c>
      <c r="O47" s="57">
        <f t="shared" si="27"/>
        <v>264811576.63999999</v>
      </c>
      <c r="S47" s="31"/>
      <c r="T47" s="31"/>
    </row>
    <row r="48" spans="1:25">
      <c r="A48" s="7"/>
      <c r="B48" s="7"/>
      <c r="C48" s="7"/>
      <c r="D48" s="7"/>
      <c r="I48" s="21"/>
      <c r="J48" s="45" t="s">
        <v>30</v>
      </c>
      <c r="K48" s="45" t="s">
        <v>31</v>
      </c>
      <c r="L48" s="45" t="s">
        <v>32</v>
      </c>
      <c r="M48" s="45" t="s">
        <v>33</v>
      </c>
      <c r="N48" s="45" t="s">
        <v>34</v>
      </c>
      <c r="O48" s="45" t="s">
        <v>35</v>
      </c>
      <c r="S48" s="35" t="s">
        <v>71</v>
      </c>
      <c r="T48" s="132">
        <f>NPV(C51,U38:Y38)+T38</f>
        <v>987115241.81217098</v>
      </c>
    </row>
    <row r="49" spans="1:28">
      <c r="A49" s="7" t="s">
        <v>24</v>
      </c>
      <c r="B49" s="7"/>
      <c r="C49" s="11">
        <v>0.33</v>
      </c>
      <c r="D49" s="7"/>
      <c r="I49" s="21"/>
      <c r="J49" s="51"/>
      <c r="K49" s="51"/>
      <c r="L49" s="51"/>
      <c r="M49" s="51"/>
      <c r="N49" s="51"/>
      <c r="O49" s="51"/>
      <c r="S49" s="35" t="s">
        <v>72</v>
      </c>
      <c r="T49" s="132">
        <f>PMT(C51,5,-T48)</f>
        <v>241909659.81607771</v>
      </c>
    </row>
    <row r="50" spans="1:28">
      <c r="A50" s="7"/>
      <c r="B50" s="7"/>
      <c r="C50" s="7"/>
      <c r="D50" s="7"/>
      <c r="I50" s="40" t="s">
        <v>85</v>
      </c>
      <c r="J50" s="52"/>
      <c r="K50" s="100">
        <f>C42</f>
        <v>215410000</v>
      </c>
      <c r="L50" s="100">
        <f>ROUND(K50*(1+$C$46),2)</f>
        <v>219718200</v>
      </c>
      <c r="M50" s="100">
        <f t="shared" ref="M50:O50" si="28">ROUND(L50*(1+$C$46),2)</f>
        <v>224112564</v>
      </c>
      <c r="N50" s="100">
        <f t="shared" si="28"/>
        <v>228594815.28</v>
      </c>
      <c r="O50" s="100">
        <f t="shared" si="28"/>
        <v>233166711.59</v>
      </c>
      <c r="S50" s="35" t="s">
        <v>73</v>
      </c>
      <c r="T50" s="108">
        <f>(T48-T38)/-T38</f>
        <v>5.8617505273037471</v>
      </c>
    </row>
    <row r="51" spans="1:28">
      <c r="A51" s="7" t="s">
        <v>25</v>
      </c>
      <c r="B51" s="7"/>
      <c r="C51" s="49">
        <v>7.1800000000000003E-2</v>
      </c>
      <c r="D51" s="7"/>
      <c r="I51" s="21"/>
      <c r="J51" s="51"/>
      <c r="K51" s="51"/>
      <c r="L51" s="51"/>
      <c r="M51" s="51"/>
      <c r="N51" s="51"/>
      <c r="O51" s="51"/>
      <c r="S51" s="35" t="s">
        <v>74</v>
      </c>
      <c r="T51" s="38">
        <f>IRR(T38:Y38,C51)</f>
        <v>1.2824730559356161</v>
      </c>
    </row>
    <row r="52" spans="1:28">
      <c r="A52" s="7"/>
      <c r="B52" s="7"/>
      <c r="C52" s="7"/>
      <c r="D52" s="7"/>
      <c r="I52" s="21"/>
      <c r="J52" s="45" t="s">
        <v>30</v>
      </c>
      <c r="K52" s="45" t="s">
        <v>31</v>
      </c>
      <c r="L52" s="45" t="s">
        <v>32</v>
      </c>
      <c r="M52" s="45" t="s">
        <v>33</v>
      </c>
      <c r="N52" s="45" t="s">
        <v>34</v>
      </c>
      <c r="O52" s="45" t="s">
        <v>35</v>
      </c>
      <c r="S52" s="35" t="s">
        <v>75</v>
      </c>
      <c r="T52" s="34">
        <f>MIRR(T38:Y38,C53,C51)</f>
        <v>0.52657877193719749</v>
      </c>
    </row>
    <row r="53" spans="1:28">
      <c r="A53" s="7" t="s">
        <v>26</v>
      </c>
      <c r="B53" s="7"/>
      <c r="C53" s="49">
        <v>0.2127</v>
      </c>
      <c r="D53" s="7"/>
      <c r="I53" s="60" t="s">
        <v>52</v>
      </c>
      <c r="J53" s="66">
        <f t="shared" ref="J53:O53" si="29">J47+J50</f>
        <v>0</v>
      </c>
      <c r="K53" s="101">
        <f t="shared" si="29"/>
        <v>422140000</v>
      </c>
      <c r="L53" s="101">
        <f t="shared" si="29"/>
        <v>439650600</v>
      </c>
      <c r="M53" s="101">
        <f t="shared" si="29"/>
        <v>458088120</v>
      </c>
      <c r="N53" s="101">
        <f t="shared" si="29"/>
        <v>477511763.75999999</v>
      </c>
      <c r="O53" s="101">
        <f t="shared" si="29"/>
        <v>497978288.23000002</v>
      </c>
    </row>
    <row r="54" spans="1:28">
      <c r="S54" s="67"/>
      <c r="T54" s="31"/>
    </row>
    <row r="55" spans="1:28">
      <c r="A55" s="7" t="s">
        <v>27</v>
      </c>
      <c r="B55" s="7"/>
      <c r="C55" s="13">
        <f>C34+C46+(C34*C46)</f>
        <v>6.386E-2</v>
      </c>
      <c r="D55" s="7"/>
      <c r="F55" s="58"/>
      <c r="I55" s="21"/>
      <c r="J55" s="21"/>
      <c r="K55" s="21"/>
      <c r="L55" s="21"/>
      <c r="M55" s="21"/>
      <c r="N55" s="21"/>
      <c r="O55" s="21"/>
      <c r="S55" s="31"/>
      <c r="T55" s="31"/>
    </row>
    <row r="56" spans="1:28">
      <c r="I56" s="22"/>
      <c r="J56" s="21"/>
      <c r="K56" s="21"/>
      <c r="L56" s="21"/>
      <c r="M56" s="21"/>
      <c r="N56" s="21"/>
      <c r="O56" s="21"/>
      <c r="S56" s="67"/>
      <c r="T56" s="68"/>
    </row>
    <row r="57" spans="1:28">
      <c r="I57" s="21"/>
      <c r="J57" s="105"/>
      <c r="K57" s="105"/>
      <c r="L57" s="105"/>
      <c r="M57" s="105"/>
      <c r="N57" s="105"/>
      <c r="O57" s="105"/>
      <c r="S57" s="67"/>
      <c r="T57" s="68"/>
    </row>
    <row r="58" spans="1:28" ht="26.25">
      <c r="I58" s="21"/>
      <c r="J58" s="28"/>
      <c r="K58" s="28"/>
      <c r="L58" s="28"/>
      <c r="M58" s="28"/>
      <c r="N58" s="28"/>
      <c r="O58" s="28"/>
      <c r="S58" s="25" t="s">
        <v>98</v>
      </c>
      <c r="T58" s="68"/>
    </row>
    <row r="59" spans="1:28">
      <c r="I59" s="21"/>
      <c r="J59" s="21"/>
      <c r="K59" s="21"/>
      <c r="L59" s="21"/>
      <c r="M59" s="21"/>
      <c r="N59" s="21"/>
      <c r="O59" s="21"/>
      <c r="T59" s="68"/>
    </row>
    <row r="60" spans="1:28">
      <c r="I60" s="104"/>
      <c r="J60" s="106"/>
      <c r="K60" s="106"/>
      <c r="L60" s="106"/>
      <c r="M60" s="106"/>
      <c r="N60" s="106"/>
      <c r="O60" s="106"/>
      <c r="S60" s="84">
        <v>0.05</v>
      </c>
      <c r="T60" s="31"/>
    </row>
    <row r="61" spans="1:28">
      <c r="T61" s="31"/>
    </row>
    <row r="63" spans="1:28">
      <c r="S63" s="83" t="s">
        <v>78</v>
      </c>
      <c r="T63" s="39"/>
      <c r="U63" s="83" t="s">
        <v>79</v>
      </c>
      <c r="W63" s="83" t="s">
        <v>80</v>
      </c>
      <c r="X63" s="39"/>
      <c r="Y63" s="83" t="s">
        <v>81</v>
      </c>
      <c r="AB63" s="39"/>
    </row>
    <row r="65" spans="11:26">
      <c r="S65" s="80"/>
      <c r="T65" s="133">
        <f>T48</f>
        <v>987115241.81217098</v>
      </c>
      <c r="U65" s="80"/>
      <c r="V65" s="133">
        <f>T48</f>
        <v>987115241.81217098</v>
      </c>
      <c r="W65" s="80"/>
      <c r="X65" s="133">
        <f>T48</f>
        <v>987115241.81217098</v>
      </c>
      <c r="Y65" s="80"/>
      <c r="Z65" s="133">
        <f>T48</f>
        <v>987115241.81217098</v>
      </c>
    </row>
    <row r="66" spans="11:26">
      <c r="S66" s="81">
        <f>S67*(1-$S$60)</f>
        <v>16290.125</v>
      </c>
      <c r="T66" s="134">
        <f t="dataTable" ref="T66:T74" dt2D="0" dtr="0" r1="C33"/>
        <v>514739836.56944466</v>
      </c>
      <c r="U66" s="81">
        <f>U67*(1-$S$60)</f>
        <v>33676.575412499988</v>
      </c>
      <c r="V66" s="134">
        <f t="dataTable" ref="V66:V74" dt2D="0" dtr="0" r1="C32" ca="1"/>
        <v>632835758.53719771</v>
      </c>
      <c r="W66" s="81">
        <f>W67*(1-$S$60)</f>
        <v>4072.53125</v>
      </c>
      <c r="X66" s="134">
        <f t="dataTable" ref="X66:X74" dt2D="0" dtr="0" r1="C38" ca="1"/>
        <v>987115241.81217098</v>
      </c>
      <c r="Y66" s="81">
        <f>Y67*(1-$S$60)</f>
        <v>175452791.3125</v>
      </c>
      <c r="Z66" s="134">
        <f t="dataTable" ref="Z66:Z74" dt2D="0" dtr="0" r1="C42" ca="1"/>
        <v>1100502481.6024415</v>
      </c>
    </row>
    <row r="67" spans="11:26">
      <c r="S67" s="81">
        <f>S68*(1-$S$60)</f>
        <v>17147.5</v>
      </c>
      <c r="T67" s="134">
        <v>623908618.60067332</v>
      </c>
      <c r="U67" s="81">
        <f>U68*(1-$S$60)</f>
        <v>35449.02674999999</v>
      </c>
      <c r="V67" s="134">
        <v>714708407.99430299</v>
      </c>
      <c r="W67" s="81">
        <f>W68*(1-$S$60)</f>
        <v>4286.875</v>
      </c>
      <c r="X67" s="134">
        <v>987115241.81217098</v>
      </c>
      <c r="Y67" s="81">
        <f>Y68*(1-$S$60)</f>
        <v>184687148.75</v>
      </c>
      <c r="Z67" s="134">
        <v>1074297990.9567471</v>
      </c>
    </row>
    <row r="68" spans="11:26">
      <c r="K68" s="58"/>
      <c r="S68" s="81">
        <f>S69*(1-$S$60)</f>
        <v>18050</v>
      </c>
      <c r="T68" s="134">
        <v>738822970.96381295</v>
      </c>
      <c r="U68" s="81">
        <f>U69*(1-$S$60)</f>
        <v>37314.764999999992</v>
      </c>
      <c r="V68" s="134">
        <v>800899226.8135947</v>
      </c>
      <c r="W68" s="81">
        <f>W69*(1-$S$60)</f>
        <v>4512.5</v>
      </c>
      <c r="X68" s="134">
        <v>987115241.81217098</v>
      </c>
      <c r="Y68" s="81">
        <f>Y69*(1-$S$60)</f>
        <v>194407525</v>
      </c>
      <c r="Z68" s="134">
        <v>1046714316.6020737</v>
      </c>
    </row>
    <row r="69" spans="11:26">
      <c r="S69" s="81">
        <f>S70*(1-$S$60)</f>
        <v>19000</v>
      </c>
      <c r="T69" s="134">
        <v>859785896.08258784</v>
      </c>
      <c r="U69" s="81">
        <f>U70*(1-$S$60)</f>
        <v>39278.699999999997</v>
      </c>
      <c r="V69" s="134">
        <v>891635971.44547796</v>
      </c>
      <c r="W69" s="81">
        <f>W70*(1-$S$60)</f>
        <v>4750</v>
      </c>
      <c r="X69" s="134">
        <v>987115241.81217098</v>
      </c>
      <c r="Y69" s="81">
        <f>Y70*(1-$S$60)</f>
        <v>204639500</v>
      </c>
      <c r="Z69" s="134">
        <v>1017678869.907717</v>
      </c>
    </row>
    <row r="70" spans="11:26">
      <c r="S70" s="16">
        <v>20000</v>
      </c>
      <c r="T70" s="134">
        <v>987115241.81217098</v>
      </c>
      <c r="U70" s="103">
        <v>41346</v>
      </c>
      <c r="V70" s="134">
        <v>987115241.81217098</v>
      </c>
      <c r="W70" s="16">
        <v>5000</v>
      </c>
      <c r="X70" s="134">
        <v>987115241.81217098</v>
      </c>
      <c r="Y70" s="102">
        <v>215410000</v>
      </c>
      <c r="Z70" s="134">
        <v>987115241.81217098</v>
      </c>
    </row>
    <row r="71" spans="11:26">
      <c r="S71" s="81">
        <f>S70*(1+$S$60)</f>
        <v>21000</v>
      </c>
      <c r="T71" s="134">
        <v>1114444819.3198442</v>
      </c>
      <c r="U71" s="81">
        <f>U70*(1+$S$60)</f>
        <v>43413.3</v>
      </c>
      <c r="V71" s="134">
        <v>1082618777.6074452</v>
      </c>
      <c r="W71" s="81">
        <f>W70*(1+$S$60)</f>
        <v>5250</v>
      </c>
      <c r="X71" s="134">
        <v>987115241.81217098</v>
      </c>
      <c r="Y71" s="81">
        <f>Y70*(1+$S$60)</f>
        <v>226180500</v>
      </c>
      <c r="Z71" s="134">
        <v>956551613.72136211</v>
      </c>
    </row>
    <row r="72" spans="11:26">
      <c r="S72" s="81">
        <f>S71*(1+$S$60)</f>
        <v>22050</v>
      </c>
      <c r="T72" s="134">
        <v>1248140585.6602356</v>
      </c>
      <c r="U72" s="81">
        <f>U71*(1+$S$60)</f>
        <v>45583.965000000004</v>
      </c>
      <c r="V72" s="134">
        <v>1182874563.7383316</v>
      </c>
      <c r="W72" s="81">
        <f>W71*(1+$S$60)</f>
        <v>5512.5</v>
      </c>
      <c r="X72" s="134">
        <v>987115241.81217098</v>
      </c>
      <c r="Y72" s="81">
        <f>Y71*(1+$S$60)</f>
        <v>237489525</v>
      </c>
      <c r="Z72" s="134">
        <v>924459804.20973587</v>
      </c>
    </row>
    <row r="73" spans="11:26">
      <c r="S73" s="81">
        <f>S72*(1+$S$60)</f>
        <v>23152.5</v>
      </c>
      <c r="T73" s="134">
        <v>1388521090.4238474</v>
      </c>
      <c r="U73" s="81">
        <f>U72*(1+$S$60)</f>
        <v>47863.163250000005</v>
      </c>
      <c r="V73" s="134">
        <v>1288177083.7137606</v>
      </c>
      <c r="W73" s="81">
        <f>W72*(1+$S$60)</f>
        <v>5788.125</v>
      </c>
      <c r="X73" s="134">
        <v>987115241.81217098</v>
      </c>
      <c r="Y73" s="81">
        <f>Y72*(1+$S$60)</f>
        <v>249364001.25</v>
      </c>
      <c r="Z73" s="134">
        <v>890763404.21872258</v>
      </c>
    </row>
    <row r="74" spans="11:26">
      <c r="S74" s="82">
        <f>S73*(1+$S$60)</f>
        <v>24310.125</v>
      </c>
      <c r="T74" s="135">
        <v>1535921396.0626595</v>
      </c>
      <c r="U74" s="82">
        <f>U73*(1+$S$60)</f>
        <v>50256.321412500009</v>
      </c>
      <c r="V74" s="135">
        <v>1398719743.2693419</v>
      </c>
      <c r="W74" s="82">
        <f>W73*(1+$S$60)</f>
        <v>6077.53125</v>
      </c>
      <c r="X74" s="135">
        <v>987115241.81217098</v>
      </c>
      <c r="Y74" s="82">
        <f>Y73*(1+$S$60)</f>
        <v>261832201.3125</v>
      </c>
      <c r="Z74" s="135">
        <v>855382184.25091052</v>
      </c>
    </row>
    <row r="77" spans="11:26">
      <c r="S77" s="45" t="s">
        <v>76</v>
      </c>
      <c r="T77" s="45" t="s">
        <v>15</v>
      </c>
      <c r="U77" s="45" t="s">
        <v>90</v>
      </c>
      <c r="V77" s="45" t="s">
        <v>91</v>
      </c>
    </row>
    <row r="78" spans="11:26">
      <c r="S78" s="136">
        <f>T66</f>
        <v>514739836.56944466</v>
      </c>
      <c r="T78" s="136">
        <f>V66</f>
        <v>632835758.53719771</v>
      </c>
      <c r="U78" s="136">
        <f>X66</f>
        <v>987115241.81217098</v>
      </c>
      <c r="V78" s="136">
        <f>Z66</f>
        <v>1100502481.6024415</v>
      </c>
    </row>
    <row r="79" spans="11:26">
      <c r="S79" s="136">
        <f t="shared" ref="S79:S86" si="30">T67</f>
        <v>623908618.60067332</v>
      </c>
      <c r="T79" s="136">
        <f t="shared" ref="T79:T86" si="31">V67</f>
        <v>714708407.99430299</v>
      </c>
      <c r="U79" s="136">
        <f t="shared" ref="U79:U86" si="32">X67</f>
        <v>987115241.81217098</v>
      </c>
      <c r="V79" s="136">
        <f t="shared" ref="V79:V86" si="33">Z67</f>
        <v>1074297990.9567471</v>
      </c>
    </row>
    <row r="80" spans="11:26">
      <c r="S80" s="136">
        <f t="shared" si="30"/>
        <v>738822970.96381295</v>
      </c>
      <c r="T80" s="136">
        <f t="shared" si="31"/>
        <v>800899226.8135947</v>
      </c>
      <c r="U80" s="136">
        <f t="shared" si="32"/>
        <v>987115241.81217098</v>
      </c>
      <c r="V80" s="136">
        <f t="shared" si="33"/>
        <v>1046714316.6020737</v>
      </c>
    </row>
    <row r="81" spans="18:22">
      <c r="S81" s="136">
        <f t="shared" si="30"/>
        <v>859785896.08258784</v>
      </c>
      <c r="T81" s="136">
        <f t="shared" si="31"/>
        <v>891635971.44547796</v>
      </c>
      <c r="U81" s="136">
        <f t="shared" si="32"/>
        <v>987115241.81217098</v>
      </c>
      <c r="V81" s="136">
        <f t="shared" si="33"/>
        <v>1017678869.907717</v>
      </c>
    </row>
    <row r="82" spans="18:22">
      <c r="S82" s="136">
        <f t="shared" si="30"/>
        <v>987115241.81217098</v>
      </c>
      <c r="T82" s="136">
        <f t="shared" si="31"/>
        <v>987115241.81217098</v>
      </c>
      <c r="U82" s="136">
        <f t="shared" si="32"/>
        <v>987115241.81217098</v>
      </c>
      <c r="V82" s="136">
        <f t="shared" si="33"/>
        <v>987115241.81217098</v>
      </c>
    </row>
    <row r="83" spans="18:22">
      <c r="S83" s="136">
        <f t="shared" si="30"/>
        <v>1114444819.3198442</v>
      </c>
      <c r="T83" s="136">
        <f t="shared" si="31"/>
        <v>1082618777.6074452</v>
      </c>
      <c r="U83" s="136">
        <f t="shared" si="32"/>
        <v>987115241.81217098</v>
      </c>
      <c r="V83" s="136">
        <f t="shared" si="33"/>
        <v>956551613.72136211</v>
      </c>
    </row>
    <row r="84" spans="18:22">
      <c r="S84" s="136">
        <f t="shared" si="30"/>
        <v>1248140585.6602356</v>
      </c>
      <c r="T84" s="136">
        <f t="shared" si="31"/>
        <v>1182874563.7383316</v>
      </c>
      <c r="U84" s="136">
        <f t="shared" si="32"/>
        <v>987115241.81217098</v>
      </c>
      <c r="V84" s="136">
        <f t="shared" si="33"/>
        <v>924459804.20973587</v>
      </c>
    </row>
    <row r="85" spans="18:22">
      <c r="S85" s="136">
        <f t="shared" si="30"/>
        <v>1388521090.4238474</v>
      </c>
      <c r="T85" s="136">
        <f t="shared" si="31"/>
        <v>1288177083.7137606</v>
      </c>
      <c r="U85" s="136">
        <f t="shared" si="32"/>
        <v>987115241.81217098</v>
      </c>
      <c r="V85" s="136">
        <f t="shared" si="33"/>
        <v>890763404.21872258</v>
      </c>
    </row>
    <row r="86" spans="18:22">
      <c r="S86" s="136">
        <f t="shared" si="30"/>
        <v>1535921396.0626595</v>
      </c>
      <c r="T86" s="136">
        <f t="shared" si="31"/>
        <v>1398719743.2693419</v>
      </c>
      <c r="U86" s="136">
        <f t="shared" si="32"/>
        <v>987115241.81217098</v>
      </c>
      <c r="V86" s="136">
        <f t="shared" si="33"/>
        <v>855382184.25091052</v>
      </c>
    </row>
    <row r="87" spans="18:22">
      <c r="S87" s="137"/>
      <c r="T87" s="136"/>
      <c r="U87" s="137"/>
      <c r="V87" s="137"/>
    </row>
    <row r="88" spans="18:22">
      <c r="R88" s="40" t="s">
        <v>99</v>
      </c>
      <c r="S88" s="85">
        <f>LINEST(S78:S86)</f>
        <v>127530963.43454139</v>
      </c>
      <c r="T88" s="85">
        <f t="shared" ref="T88:V88" si="34">LINEST(T78:T86)</f>
        <v>95647924.101639837</v>
      </c>
      <c r="U88" s="85">
        <f t="shared" si="34"/>
        <v>0</v>
      </c>
      <c r="V88" s="85">
        <f t="shared" si="34"/>
        <v>-30612020.509853795</v>
      </c>
    </row>
    <row r="94" spans="18:22" ht="23.25">
      <c r="S94" s="32" t="s">
        <v>108</v>
      </c>
    </row>
    <row r="96" spans="18:22">
      <c r="S96" s="35" t="s">
        <v>109</v>
      </c>
      <c r="T96" s="138">
        <f>CF/(PRECIO-CV)</f>
        <v>14360.666666666666</v>
      </c>
      <c r="U96" s="109">
        <v>0.2</v>
      </c>
    </row>
    <row r="97" spans="19:25">
      <c r="S97" s="35" t="s">
        <v>112</v>
      </c>
      <c r="T97" s="139">
        <f>(CF*PRECIO)/(PRECIO-CV)</f>
        <v>287213333.33333331</v>
      </c>
      <c r="U97" s="40"/>
    </row>
    <row r="98" spans="19:25">
      <c r="S98" s="35" t="s">
        <v>85</v>
      </c>
      <c r="T98" s="33">
        <f>CF</f>
        <v>215410000</v>
      </c>
    </row>
    <row r="99" spans="19:25">
      <c r="S99" s="35" t="s">
        <v>110</v>
      </c>
      <c r="T99" s="138">
        <f>W105*T105</f>
        <v>71803333.333333328</v>
      </c>
      <c r="U99" s="39"/>
    </row>
    <row r="100" spans="19:25">
      <c r="U100" s="39"/>
    </row>
    <row r="101" spans="19:25">
      <c r="S101" s="140" t="s">
        <v>113</v>
      </c>
      <c r="T101" s="45" t="s">
        <v>114</v>
      </c>
      <c r="U101" s="45" t="s">
        <v>112</v>
      </c>
      <c r="V101" s="45" t="s">
        <v>91</v>
      </c>
      <c r="W101" s="45" t="s">
        <v>115</v>
      </c>
      <c r="X101" s="45" t="s">
        <v>111</v>
      </c>
      <c r="Y101" s="45" t="s">
        <v>55</v>
      </c>
    </row>
    <row r="102" spans="19:25">
      <c r="S102" s="127">
        <f>S103-(S103*U96)</f>
        <v>10240</v>
      </c>
      <c r="T102" s="141">
        <f>T103-(T103*U96)</f>
        <v>7352.6613333333325</v>
      </c>
      <c r="U102" s="127">
        <f>U103-(U103*U96)</f>
        <v>147053226.66666666</v>
      </c>
      <c r="V102" s="127">
        <v>215410000</v>
      </c>
      <c r="W102" s="127">
        <f t="shared" ref="W102:W103" si="35">W103-(W103*$U$96)</f>
        <v>2560</v>
      </c>
      <c r="X102" s="127">
        <f>X103-(X103*U96)</f>
        <v>36763306.666666664</v>
      </c>
      <c r="Y102" s="141">
        <f t="shared" ref="Y102:Y104" si="36">X102+V102</f>
        <v>252173306.66666666</v>
      </c>
    </row>
    <row r="103" spans="19:25">
      <c r="S103" s="127">
        <f>S104-(S104*U96)</f>
        <v>12800</v>
      </c>
      <c r="T103" s="141">
        <f>T104-(T104*U96)</f>
        <v>9190.8266666666659</v>
      </c>
      <c r="U103" s="127">
        <f>U104-(U104*U96)</f>
        <v>183816533.33333331</v>
      </c>
      <c r="V103" s="127">
        <v>215410000</v>
      </c>
      <c r="W103" s="127">
        <f t="shared" si="35"/>
        <v>3200</v>
      </c>
      <c r="X103" s="127">
        <f>X104-(X104*U96)</f>
        <v>45954133.333333328</v>
      </c>
      <c r="Y103" s="141">
        <f t="shared" si="36"/>
        <v>261364133.33333331</v>
      </c>
    </row>
    <row r="104" spans="19:25">
      <c r="S104" s="127">
        <f>S105-(S105*U96)</f>
        <v>16000</v>
      </c>
      <c r="T104" s="141">
        <f>T105-(T105*U96)</f>
        <v>11488.533333333333</v>
      </c>
      <c r="U104" s="127">
        <f>U105-(U105*U96)</f>
        <v>229770666.66666666</v>
      </c>
      <c r="V104" s="127">
        <v>215410000</v>
      </c>
      <c r="W104" s="127">
        <f>W105-(W105*$U$96)</f>
        <v>4000</v>
      </c>
      <c r="X104" s="127">
        <f>X105-(X105*U96)</f>
        <v>57442666.666666664</v>
      </c>
      <c r="Y104" s="141">
        <f t="shared" si="36"/>
        <v>272852666.66666669</v>
      </c>
    </row>
    <row r="105" spans="19:25">
      <c r="S105" s="127">
        <f>PRECIO</f>
        <v>20000</v>
      </c>
      <c r="T105" s="141">
        <f>T96</f>
        <v>14360.666666666666</v>
      </c>
      <c r="U105" s="141">
        <f>S105*T105</f>
        <v>287213333.33333331</v>
      </c>
      <c r="V105" s="127">
        <f>T98</f>
        <v>215410000</v>
      </c>
      <c r="W105" s="127">
        <f>CV</f>
        <v>5000</v>
      </c>
      <c r="X105" s="141">
        <f>T99</f>
        <v>71803333.333333328</v>
      </c>
      <c r="Y105" s="141">
        <f>X105+V105</f>
        <v>287213333.33333331</v>
      </c>
    </row>
    <row r="106" spans="19:25">
      <c r="S106" s="127">
        <f>S105+(S105*U96)</f>
        <v>24000</v>
      </c>
      <c r="T106" s="141">
        <f>T105+(T105*U96)</f>
        <v>17232.8</v>
      </c>
      <c r="U106" s="127">
        <f>U105+(U105*U96)</f>
        <v>344656000</v>
      </c>
      <c r="V106" s="127">
        <v>215410000</v>
      </c>
      <c r="W106" s="127">
        <f>W105+(W105*$U$96)</f>
        <v>6000</v>
      </c>
      <c r="X106" s="141">
        <f>X105+(X105*U96)</f>
        <v>86164000</v>
      </c>
      <c r="Y106" s="141">
        <f t="shared" ref="Y106:Y108" si="37">X106+V106</f>
        <v>301574000</v>
      </c>
    </row>
    <row r="107" spans="19:25">
      <c r="S107" s="127">
        <f>S106+(S106*U96)</f>
        <v>28800</v>
      </c>
      <c r="T107" s="141">
        <f>T106+(T106*U96)</f>
        <v>20679.36</v>
      </c>
      <c r="U107" s="127">
        <f>U106+(U106*U96)</f>
        <v>413587200</v>
      </c>
      <c r="V107" s="127">
        <v>215410000</v>
      </c>
      <c r="W107" s="127">
        <f t="shared" ref="W107:W108" si="38">W106+(W106*$U$96)</f>
        <v>7200</v>
      </c>
      <c r="X107" s="141">
        <f>X106+(X106*U96)</f>
        <v>103396800</v>
      </c>
      <c r="Y107" s="141">
        <f t="shared" si="37"/>
        <v>318806800</v>
      </c>
    </row>
    <row r="108" spans="19:25">
      <c r="S108" s="127">
        <f>S107+(S107*U96)</f>
        <v>34560</v>
      </c>
      <c r="T108" s="141">
        <f>T107+(T107*U96)</f>
        <v>24815.232</v>
      </c>
      <c r="U108" s="127">
        <f>U107+(U107*U96)</f>
        <v>496304640</v>
      </c>
      <c r="V108" s="127">
        <v>215410000</v>
      </c>
      <c r="W108" s="127">
        <f t="shared" si="38"/>
        <v>8640</v>
      </c>
      <c r="X108" s="141">
        <f>X107+(X107*U96)</f>
        <v>124076160</v>
      </c>
      <c r="Y108" s="141">
        <f t="shared" si="37"/>
        <v>339486160</v>
      </c>
    </row>
  </sheetData>
  <scenarios current="1" show="1" sqref="T48:T52">
    <scenario name="PESIMISTA" locked="1" count="4" user="Portatil1" comment="Creado por Portatil1 el 02/12/2010_x000a_Modificado por Portatil1 el 09/06/2013">
      <inputCells r="C32" val="31346"/>
      <inputCells r="C33" val="15000"/>
      <inputCells r="C38" val="6000"/>
      <inputCells r="C42" val="225410000" numFmtId="173"/>
    </scenario>
    <scenario name="REALISTA" locked="1" count="4" user="Portatil1" comment="Creado por Portatil1 el 02/12/2010_x000a_Modificado por Portatil1 el 09/06/2013">
      <inputCells r="C32" val="41346"/>
      <inputCells r="C33" val="20000"/>
      <inputCells r="C38" val="5000"/>
      <inputCells r="C42" val="215410000" numFmtId="173"/>
    </scenario>
    <scenario name="OPTIMISTA" locked="1" count="4" user="Portatil1" comment="Creado por Portatil1 el 02/12/2010_x000a_Modificado por Portatil1 el 09/06/2013">
      <inputCells r="C32" val="51346"/>
      <inputCells r="C33" val="25000"/>
      <inputCells r="C38" val="4000"/>
      <inputCells r="C42" val="205410000" numFmtId="173"/>
    </scenario>
  </scenario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B1:H16"/>
  <sheetViews>
    <sheetView showGridLines="0" workbookViewId="0">
      <selection activeCell="F23" sqref="F23"/>
    </sheetView>
  </sheetViews>
  <sheetFormatPr baseColWidth="10" defaultRowHeight="15" outlineLevelRow="1" outlineLevelCol="1"/>
  <cols>
    <col min="3" max="3" width="10.28515625" customWidth="1"/>
    <col min="4" max="4" width="17.5703125" customWidth="1" outlineLevel="1"/>
    <col min="5" max="7" width="17.5703125" bestFit="1" customWidth="1" outlineLevel="1"/>
    <col min="8" max="8" width="21.7109375" style="51" customWidth="1"/>
  </cols>
  <sheetData>
    <row r="1" spans="2:8" ht="15.75" thickBot="1"/>
    <row r="2" spans="2:8" ht="15.75">
      <c r="B2" s="111" t="s">
        <v>93</v>
      </c>
      <c r="C2" s="111"/>
      <c r="D2" s="77"/>
      <c r="E2" s="77"/>
      <c r="F2" s="77"/>
      <c r="G2" s="77"/>
    </row>
    <row r="3" spans="2:8" ht="15.75" collapsed="1">
      <c r="B3" s="110"/>
      <c r="C3" s="110"/>
      <c r="D3" s="131" t="s">
        <v>95</v>
      </c>
      <c r="E3" s="78" t="s">
        <v>86</v>
      </c>
      <c r="F3" s="78" t="s">
        <v>87</v>
      </c>
      <c r="G3" s="78" t="s">
        <v>88</v>
      </c>
    </row>
    <row r="4" spans="2:8" ht="45" hidden="1" outlineLevel="1">
      <c r="B4" s="113"/>
      <c r="C4" s="113"/>
      <c r="D4" s="75"/>
      <c r="E4" s="79" t="s">
        <v>106</v>
      </c>
      <c r="F4" s="79" t="s">
        <v>106</v>
      </c>
      <c r="G4" s="79" t="s">
        <v>106</v>
      </c>
    </row>
    <row r="5" spans="2:8">
      <c r="B5" s="112" t="s">
        <v>94</v>
      </c>
      <c r="C5" s="112"/>
      <c r="D5" s="76"/>
      <c r="E5" s="76"/>
      <c r="F5" s="76"/>
      <c r="G5" s="76"/>
    </row>
    <row r="6" spans="2:8" outlineLevel="1">
      <c r="B6" s="113"/>
      <c r="C6" s="113" t="s">
        <v>77</v>
      </c>
      <c r="D6" s="116">
        <v>41346</v>
      </c>
      <c r="E6" s="117">
        <v>31346</v>
      </c>
      <c r="F6" s="117">
        <v>41346</v>
      </c>
      <c r="G6" s="117">
        <v>51346</v>
      </c>
    </row>
    <row r="7" spans="2:8" outlineLevel="1">
      <c r="B7" s="113"/>
      <c r="C7" s="113" t="s">
        <v>76</v>
      </c>
      <c r="D7" s="116">
        <v>20000</v>
      </c>
      <c r="E7" s="117">
        <v>15000</v>
      </c>
      <c r="F7" s="117">
        <v>20000</v>
      </c>
      <c r="G7" s="117">
        <v>25000</v>
      </c>
    </row>
    <row r="8" spans="2:8" outlineLevel="1">
      <c r="B8" s="113"/>
      <c r="C8" s="113" t="s">
        <v>90</v>
      </c>
      <c r="D8" s="116">
        <v>5000</v>
      </c>
      <c r="E8" s="117">
        <v>6000</v>
      </c>
      <c r="F8" s="117">
        <v>5000</v>
      </c>
      <c r="G8" s="117">
        <v>4000</v>
      </c>
    </row>
    <row r="9" spans="2:8" ht="15.75" outlineLevel="1" thickBot="1">
      <c r="B9" s="113"/>
      <c r="C9" s="113" t="s">
        <v>91</v>
      </c>
      <c r="D9" s="118">
        <v>215410000</v>
      </c>
      <c r="E9" s="119">
        <v>225410000</v>
      </c>
      <c r="F9" s="119">
        <v>215410000</v>
      </c>
      <c r="G9" s="119">
        <v>205410000</v>
      </c>
    </row>
    <row r="10" spans="2:8">
      <c r="B10" s="112" t="s">
        <v>96</v>
      </c>
      <c r="C10" s="112"/>
      <c r="D10" s="76"/>
      <c r="E10" s="76"/>
      <c r="F10" s="76"/>
      <c r="G10" s="76"/>
      <c r="H10" s="130" t="s">
        <v>97</v>
      </c>
    </row>
    <row r="11" spans="2:8" outlineLevel="1">
      <c r="B11" s="113"/>
      <c r="C11" s="113" t="s">
        <v>71</v>
      </c>
      <c r="D11" s="120">
        <v>987115241.81217098</v>
      </c>
      <c r="E11" s="120">
        <v>14134788.5124711</v>
      </c>
      <c r="F11" s="120">
        <v>987115241.81217098</v>
      </c>
      <c r="G11" s="120">
        <v>2268084612.7167802</v>
      </c>
      <c r="H11" s="124">
        <f>((E11*$E$16)+(F11*$F$16)+(G11*$G$16))</f>
        <v>1023583774.9199104</v>
      </c>
    </row>
    <row r="12" spans="2:8" outlineLevel="1">
      <c r="B12" s="113"/>
      <c r="C12" s="113" t="s">
        <v>72</v>
      </c>
      <c r="D12" s="120">
        <v>241909659.81607801</v>
      </c>
      <c r="E12" s="120">
        <v>3463974.35252521</v>
      </c>
      <c r="F12" s="120">
        <v>241909659.81607801</v>
      </c>
      <c r="G12" s="120">
        <v>555833355.47441399</v>
      </c>
      <c r="H12" s="124">
        <f t="shared" ref="H12:H15" si="0">((E12*$E$16)+(F12*$F$16)+(G12*$G$16))</f>
        <v>250846904.49065995</v>
      </c>
    </row>
    <row r="13" spans="2:8" outlineLevel="1">
      <c r="B13" s="113"/>
      <c r="C13" s="113" t="s">
        <v>92</v>
      </c>
      <c r="D13" s="121">
        <v>5.8617505273037498</v>
      </c>
      <c r="E13" s="121">
        <v>1.06961681128302</v>
      </c>
      <c r="F13" s="121">
        <v>5.8617505273037498</v>
      </c>
      <c r="G13" s="121">
        <v>12.170794548367001</v>
      </c>
      <c r="H13" s="125">
        <f t="shared" si="0"/>
        <v>6.0413657358999204</v>
      </c>
    </row>
    <row r="14" spans="2:8" outlineLevel="1">
      <c r="B14" s="113"/>
      <c r="C14" s="113" t="s">
        <v>74</v>
      </c>
      <c r="D14" s="122">
        <v>1.2824730559356201</v>
      </c>
      <c r="E14" s="122">
        <v>9.4736967166433594E-2</v>
      </c>
      <c r="F14" s="122">
        <v>1.2824730559356201</v>
      </c>
      <c r="G14" s="122">
        <v>2.6703207580193</v>
      </c>
      <c r="H14" s="126">
        <f t="shared" si="0"/>
        <v>1.3006124370451022</v>
      </c>
    </row>
    <row r="15" spans="2:8" ht="15.75" outlineLevel="1" thickBot="1">
      <c r="B15" s="114"/>
      <c r="C15" s="114" t="s">
        <v>75</v>
      </c>
      <c r="D15" s="123">
        <v>0.52657877193719704</v>
      </c>
      <c r="E15" s="123">
        <v>8.6324055759009699E-2</v>
      </c>
      <c r="F15" s="123">
        <v>0.52657877193719704</v>
      </c>
      <c r="G15" s="123">
        <v>0.76675992201652998</v>
      </c>
      <c r="H15" s="126">
        <f t="shared" si="0"/>
        <v>0.49216518986058699</v>
      </c>
    </row>
    <row r="16" spans="2:8">
      <c r="B16" s="128" t="s">
        <v>107</v>
      </c>
      <c r="C16" s="128"/>
      <c r="D16" s="129"/>
      <c r="E16" s="115">
        <v>0.16</v>
      </c>
      <c r="F16" s="115">
        <v>0.69</v>
      </c>
      <c r="G16" s="115">
        <v>0.15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3"/>
  <sheetViews>
    <sheetView topLeftCell="A2" workbookViewId="0">
      <selection activeCell="C20" sqref="C20"/>
    </sheetView>
  </sheetViews>
  <sheetFormatPr baseColWidth="10" defaultRowHeight="15"/>
  <cols>
    <col min="2" max="2" width="18.140625" bestFit="1" customWidth="1"/>
    <col min="3" max="3" width="19.5703125" bestFit="1" customWidth="1"/>
    <col min="4" max="4" width="18.85546875" bestFit="1" customWidth="1"/>
    <col min="5" max="8" width="15.140625" bestFit="1" customWidth="1"/>
    <col min="9" max="9" width="19.140625" bestFit="1" customWidth="1"/>
  </cols>
  <sheetData>
    <row r="2" spans="1:9" ht="26.25">
      <c r="A2" s="25" t="s">
        <v>100</v>
      </c>
    </row>
    <row r="4" spans="1:9" ht="21">
      <c r="A4" s="73"/>
      <c r="B4" s="68"/>
      <c r="C4" s="68"/>
      <c r="D4" s="68"/>
      <c r="E4" s="68"/>
    </row>
    <row r="5" spans="1:9">
      <c r="A5" s="68"/>
      <c r="B5" s="86" t="s">
        <v>101</v>
      </c>
      <c r="C5" s="86" t="s">
        <v>102</v>
      </c>
      <c r="D5" s="86" t="s">
        <v>35</v>
      </c>
      <c r="E5" s="86" t="s">
        <v>34</v>
      </c>
      <c r="F5" s="86" t="s">
        <v>33</v>
      </c>
      <c r="G5" s="86" t="s">
        <v>32</v>
      </c>
      <c r="H5" s="86" t="s">
        <v>31</v>
      </c>
      <c r="I5" s="86" t="s">
        <v>30</v>
      </c>
    </row>
    <row r="6" spans="1:9">
      <c r="A6" s="68" t="s">
        <v>23</v>
      </c>
      <c r="C6" s="68"/>
      <c r="D6" s="91">
        <v>0.02</v>
      </c>
      <c r="E6" s="91">
        <v>2.3E-2</v>
      </c>
      <c r="F6" s="92">
        <v>2.4500000000000001E-2</v>
      </c>
      <c r="G6" s="93">
        <v>0.02</v>
      </c>
      <c r="H6" s="92">
        <v>1.7999999999999999E-2</v>
      </c>
    </row>
    <row r="7" spans="1:9">
      <c r="A7" s="68"/>
      <c r="B7" s="96">
        <v>0</v>
      </c>
      <c r="C7" s="97">
        <f>'Flujo de caja del proyecto'!T38</f>
        <v>-203037000</v>
      </c>
      <c r="D7" s="67"/>
      <c r="E7" s="67"/>
      <c r="I7" s="89">
        <f>C7</f>
        <v>-203037000</v>
      </c>
    </row>
    <row r="8" spans="1:9">
      <c r="A8" s="68"/>
      <c r="B8" s="96">
        <v>1</v>
      </c>
      <c r="C8" s="98">
        <f>'Flujo de caja del proyecto'!U38</f>
        <v>249174194.28896761</v>
      </c>
      <c r="D8" s="87"/>
      <c r="E8" s="87"/>
      <c r="F8" s="88"/>
      <c r="G8" s="88"/>
      <c r="H8" s="99">
        <f>C8*((1+H6)^-1)</f>
        <v>244768363.74161848</v>
      </c>
      <c r="I8" s="90">
        <f>H8</f>
        <v>244768363.74161848</v>
      </c>
    </row>
    <row r="9" spans="1:9">
      <c r="A9" s="68"/>
      <c r="B9" s="96">
        <v>2</v>
      </c>
      <c r="C9" s="98">
        <f>'Flujo de caja del proyecto'!V38</f>
        <v>270574374.85376567</v>
      </c>
      <c r="D9" s="87"/>
      <c r="E9" s="87"/>
      <c r="F9" s="88"/>
      <c r="G9" s="99">
        <f>C9*(((1+G6)^-1)*((1+H6)^-1))</f>
        <v>260578580.50557193</v>
      </c>
      <c r="H9" s="88"/>
      <c r="I9" s="90">
        <f>G9</f>
        <v>260578580.50557193</v>
      </c>
    </row>
    <row r="10" spans="1:9">
      <c r="A10" s="68"/>
      <c r="B10" s="96">
        <v>3</v>
      </c>
      <c r="C10" s="98">
        <f>'Flujo de caja del proyecto'!W38</f>
        <v>293406125.33662105</v>
      </c>
      <c r="D10" s="87"/>
      <c r="E10" s="87"/>
      <c r="F10" s="99">
        <f>C10*(((1+F6)^-1)*((1+G6)^-1)*((1+H6)^-1))</f>
        <v>275809527.15015596</v>
      </c>
      <c r="G10" s="88"/>
      <c r="H10" s="88"/>
      <c r="I10" s="90">
        <f>F10</f>
        <v>275809527.15015596</v>
      </c>
    </row>
    <row r="11" spans="1:9">
      <c r="A11" s="68"/>
      <c r="B11" s="96">
        <v>4</v>
      </c>
      <c r="C11" s="98">
        <f>'Flujo de caja del proyecto'!X38</f>
        <v>317765939.96431428</v>
      </c>
      <c r="D11" s="87"/>
      <c r="E11" s="98">
        <f>C11*(((1+E6)^-1)*((1+F6)^-1)*((1+G6)^-1)*((1+H6)^-1))</f>
        <v>291992568.85929501</v>
      </c>
      <c r="F11" s="88"/>
      <c r="G11" s="88"/>
      <c r="H11" s="88"/>
      <c r="I11" s="90">
        <f>E11</f>
        <v>291992568.85929501</v>
      </c>
    </row>
    <row r="12" spans="1:9">
      <c r="A12" s="68"/>
      <c r="B12" s="96">
        <v>5</v>
      </c>
      <c r="C12" s="98">
        <f>'Flujo de caja del proyecto'!Y38</f>
        <v>343743707.72463131</v>
      </c>
      <c r="D12" s="98">
        <f>C12*(((1+D6)^-1)*((1+E6)^-1)*((1+F6)^-1)*((1+G6)^-1)*((1+H6)^-1))</f>
        <v>309669932.26735419</v>
      </c>
      <c r="E12" s="87"/>
      <c r="F12" s="88"/>
      <c r="G12" s="88"/>
      <c r="H12" s="88"/>
      <c r="I12" s="90">
        <f>D12</f>
        <v>309669932.26735419</v>
      </c>
    </row>
    <row r="13" spans="1:9">
      <c r="A13" s="68"/>
      <c r="B13" s="67"/>
      <c r="C13" s="74"/>
      <c r="D13" s="74"/>
      <c r="E13" s="74"/>
    </row>
    <row r="15" spans="1:9" ht="21">
      <c r="A15" s="94" t="s">
        <v>70</v>
      </c>
      <c r="B15" s="94"/>
    </row>
    <row r="16" spans="1:9">
      <c r="A16" s="39" t="s">
        <v>103</v>
      </c>
      <c r="B16" s="95">
        <v>7.1800000000000003E-2</v>
      </c>
    </row>
    <row r="17" spans="1:5">
      <c r="A17" s="39" t="s">
        <v>104</v>
      </c>
      <c r="B17" s="95">
        <v>0.21249999999999999</v>
      </c>
    </row>
    <row r="19" spans="1:5">
      <c r="B19" s="35" t="s">
        <v>71</v>
      </c>
      <c r="C19" s="36">
        <f>NPV(B16,I8:I12)+I7</f>
        <v>916389884.01024103</v>
      </c>
      <c r="E19" s="40" t="s">
        <v>105</v>
      </c>
    </row>
    <row r="20" spans="1:5">
      <c r="B20" s="35" t="s">
        <v>72</v>
      </c>
      <c r="C20" s="36">
        <f>PMT(B16,5,-C19)</f>
        <v>224577187.85988963</v>
      </c>
    </row>
    <row r="21" spans="1:5">
      <c r="B21" s="35" t="s">
        <v>73</v>
      </c>
      <c r="C21" s="37">
        <f>(C19-I7)/-I7</f>
        <v>5.5134132400017783</v>
      </c>
    </row>
    <row r="22" spans="1:5">
      <c r="B22" s="35" t="s">
        <v>74</v>
      </c>
      <c r="C22" s="38">
        <f>IRR(I7:I12,B16)</f>
        <v>1.2387338750037367</v>
      </c>
    </row>
    <row r="23" spans="1:5">
      <c r="B23" s="35" t="s">
        <v>75</v>
      </c>
      <c r="C23" s="34">
        <f>MIRR(I7:I12,B17,B16)</f>
        <v>0.50798791693795597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9</vt:i4>
      </vt:variant>
    </vt:vector>
  </HeadingPairs>
  <TitlesOfParts>
    <vt:vector size="13" baseType="lpstr">
      <vt:lpstr>Flujo de caja del proyecto</vt:lpstr>
      <vt:lpstr>Resumen de escenario CUB</vt:lpstr>
      <vt:lpstr>Deflactado</vt:lpstr>
      <vt:lpstr>Hoja3</vt:lpstr>
      <vt:lpstr>BC</vt:lpstr>
      <vt:lpstr>CANTIDAD</vt:lpstr>
      <vt:lpstr>CAUE</vt:lpstr>
      <vt:lpstr>CF</vt:lpstr>
      <vt:lpstr>CV</vt:lpstr>
      <vt:lpstr>PRECIO</vt:lpstr>
      <vt:lpstr>TIR</vt:lpstr>
      <vt:lpstr>TIRM</vt:lpstr>
      <vt:lpstr>VPN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Docadu</dc:creator>
  <cp:lastModifiedBy>Portatil1</cp:lastModifiedBy>
  <dcterms:created xsi:type="dcterms:W3CDTF">2010-11-23T02:18:01Z</dcterms:created>
  <dcterms:modified xsi:type="dcterms:W3CDTF">2013-07-08T17:10:54Z</dcterms:modified>
</cp:coreProperties>
</file>