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5150" windowHeight="6885"/>
  </bookViews>
  <sheets>
    <sheet name="DATOS GENERALES" sheetId="5" r:id="rId1"/>
    <sheet name="ESTRUCTURA FINANCIERA" sheetId="8" r:id="rId2"/>
    <sheet name="FLUJO DE TESORERÍA " sheetId="2" r:id="rId3"/>
    <sheet name="BALANCE" sheetId="4" r:id="rId4"/>
    <sheet name="ESTADO DE RESULTADOS" sheetId="3" r:id="rId5"/>
    <sheet name="FLUJO DE CAJA DEL PROYECTO" sheetId="6" r:id="rId6"/>
  </sheets>
  <calcPr calcId="125725"/>
</workbook>
</file>

<file path=xl/calcChain.xml><?xml version="1.0" encoding="utf-8"?>
<calcChain xmlns="http://schemas.openxmlformats.org/spreadsheetml/2006/main">
  <c r="B5" i="5"/>
  <c r="C43" i="6"/>
  <c r="D43"/>
  <c r="E43"/>
  <c r="F43"/>
  <c r="G43"/>
  <c r="H43"/>
  <c r="I43"/>
  <c r="J43"/>
  <c r="K43"/>
  <c r="L43"/>
  <c r="L25" l="1"/>
  <c r="K25"/>
  <c r="J25"/>
  <c r="F25"/>
  <c r="E25"/>
  <c r="D25"/>
  <c r="C25"/>
  <c r="B25"/>
  <c r="L41"/>
  <c r="K41"/>
  <c r="J41"/>
  <c r="I41"/>
  <c r="H41"/>
  <c r="G41"/>
  <c r="F41"/>
  <c r="E41"/>
  <c r="D41"/>
  <c r="C41"/>
  <c r="B22"/>
  <c r="C20"/>
  <c r="B20"/>
  <c r="L19"/>
  <c r="K19"/>
  <c r="J19"/>
  <c r="I19"/>
  <c r="H19"/>
  <c r="G19"/>
  <c r="F19"/>
  <c r="D19"/>
  <c r="B19"/>
  <c r="L38"/>
  <c r="K38"/>
  <c r="J38"/>
  <c r="I38"/>
  <c r="H38"/>
  <c r="G38"/>
  <c r="F38"/>
  <c r="E38"/>
  <c r="D38"/>
  <c r="C38"/>
  <c r="L40"/>
  <c r="K40"/>
  <c r="J40"/>
  <c r="I40"/>
  <c r="H40"/>
  <c r="G40"/>
  <c r="F40"/>
  <c r="E40"/>
  <c r="C40"/>
  <c r="B40"/>
  <c r="L39"/>
  <c r="K39"/>
  <c r="J39"/>
  <c r="I39"/>
  <c r="H39"/>
  <c r="G39"/>
  <c r="F39"/>
  <c r="E39"/>
  <c r="D39"/>
  <c r="B39"/>
  <c r="L18"/>
  <c r="K18"/>
  <c r="G18"/>
  <c r="F18"/>
  <c r="E18"/>
  <c r="D18"/>
  <c r="C18"/>
  <c r="B18"/>
  <c r="L37"/>
  <c r="K37"/>
  <c r="J37"/>
  <c r="I37"/>
  <c r="H37"/>
  <c r="G37"/>
  <c r="F37"/>
  <c r="L36"/>
  <c r="K36"/>
  <c r="J36"/>
  <c r="I36"/>
  <c r="H36"/>
  <c r="G36"/>
  <c r="E36"/>
  <c r="D36"/>
  <c r="C36"/>
  <c r="L35"/>
  <c r="K35"/>
  <c r="J35"/>
  <c r="I35"/>
  <c r="H35"/>
  <c r="G35"/>
  <c r="F35"/>
  <c r="E35"/>
  <c r="D35"/>
  <c r="C35"/>
  <c r="C23" i="8"/>
  <c r="B27" i="2" l="1"/>
  <c r="B38" i="6" s="1"/>
  <c r="C12" i="8" l="1"/>
  <c r="B134" i="5"/>
  <c r="B136" s="1"/>
  <c r="B128"/>
  <c r="B127"/>
  <c r="D124"/>
  <c r="B120"/>
  <c r="D26" i="2" s="1"/>
  <c r="D13" i="4" l="1"/>
  <c r="E13" s="1"/>
  <c r="F13" s="1"/>
  <c r="G13" s="1"/>
  <c r="H13" s="1"/>
  <c r="I13" s="1"/>
  <c r="J13" s="1"/>
  <c r="K13" s="1"/>
  <c r="L13" s="1"/>
  <c r="D40" i="6"/>
  <c r="B129" i="5"/>
  <c r="D29" i="2"/>
  <c r="D20" i="6" s="1"/>
  <c r="E29" i="2"/>
  <c r="C28"/>
  <c r="E28"/>
  <c r="E19" i="6" s="1"/>
  <c r="E124" i="5"/>
  <c r="B138"/>
  <c r="F29" i="2" l="1"/>
  <c r="E20" i="6"/>
  <c r="C12" i="4"/>
  <c r="D12" s="1"/>
  <c r="E12" s="1"/>
  <c r="F12" s="1"/>
  <c r="G12" s="1"/>
  <c r="H12" s="1"/>
  <c r="I12" s="1"/>
  <c r="J12" s="1"/>
  <c r="K12" s="1"/>
  <c r="L12" s="1"/>
  <c r="C19" i="6"/>
  <c r="C25" i="2"/>
  <c r="C39" i="6" s="1"/>
  <c r="A7"/>
  <c r="A8"/>
  <c r="A9"/>
  <c r="B9"/>
  <c r="C9"/>
  <c r="D9"/>
  <c r="E9"/>
  <c r="F9"/>
  <c r="J9"/>
  <c r="K9"/>
  <c r="L9"/>
  <c r="A6"/>
  <c r="A30" i="8"/>
  <c r="A28"/>
  <c r="D82"/>
  <c r="A78"/>
  <c r="C50"/>
  <c r="C64" s="1"/>
  <c r="C78" s="1"/>
  <c r="B50"/>
  <c r="B64" s="1"/>
  <c r="B78" s="1"/>
  <c r="B50" i="5"/>
  <c r="D16"/>
  <c r="D15"/>
  <c r="D14"/>
  <c r="G29" i="2" l="1"/>
  <c r="F20" i="6"/>
  <c r="D17" i="5"/>
  <c r="H29" i="2" l="1"/>
  <c r="G20" i="6"/>
  <c r="B3" i="8"/>
  <c r="B27"/>
  <c r="D84" s="1"/>
  <c r="D89" i="5"/>
  <c r="D88"/>
  <c r="D87"/>
  <c r="D104"/>
  <c r="H104" s="1"/>
  <c r="C101"/>
  <c r="D101" s="1"/>
  <c r="C15" i="8"/>
  <c r="C8" s="1"/>
  <c r="B15"/>
  <c r="B8" s="1"/>
  <c r="C13"/>
  <c r="C6" s="1"/>
  <c r="D12"/>
  <c r="C14"/>
  <c r="C7" s="1"/>
  <c r="B14"/>
  <c r="B7" s="1"/>
  <c r="B13"/>
  <c r="B6" s="1"/>
  <c r="C89" i="5"/>
  <c r="C88"/>
  <c r="C87"/>
  <c r="E82"/>
  <c r="F82" s="1"/>
  <c r="G82" s="1"/>
  <c r="F81"/>
  <c r="G81" s="1"/>
  <c r="F80"/>
  <c r="G80" s="1"/>
  <c r="F79"/>
  <c r="G79" s="1"/>
  <c r="F78"/>
  <c r="G78" s="1"/>
  <c r="B95"/>
  <c r="I29" i="2" l="1"/>
  <c r="H20" i="6"/>
  <c r="B21" i="8"/>
  <c r="A77" s="1"/>
  <c r="C90" i="5"/>
  <c r="B23" i="8" s="1"/>
  <c r="D105" i="5"/>
  <c r="H105" s="1"/>
  <c r="H112" s="1"/>
  <c r="F104"/>
  <c r="G104"/>
  <c r="G12" i="2"/>
  <c r="H12"/>
  <c r="E104" i="5"/>
  <c r="C9" i="8"/>
  <c r="B9"/>
  <c r="F8" s="1"/>
  <c r="D6"/>
  <c r="B35" s="1"/>
  <c r="D8"/>
  <c r="B63" s="1"/>
  <c r="D7"/>
  <c r="B49" s="1"/>
  <c r="B16"/>
  <c r="B17" s="1"/>
  <c r="D14"/>
  <c r="D15"/>
  <c r="D13"/>
  <c r="B93" i="5"/>
  <c r="C82" i="8" l="1"/>
  <c r="C84"/>
  <c r="J29" i="2"/>
  <c r="I20" i="6"/>
  <c r="I12" i="2"/>
  <c r="G105" i="5"/>
  <c r="I35" i="2"/>
  <c r="I25" i="6" s="1"/>
  <c r="I9"/>
  <c r="H35" i="2"/>
  <c r="H25" i="6" s="1"/>
  <c r="H9"/>
  <c r="G35" i="2"/>
  <c r="G25" i="6" s="1"/>
  <c r="G9"/>
  <c r="B92" i="5"/>
  <c r="B94" s="1"/>
  <c r="D106"/>
  <c r="F105"/>
  <c r="E105"/>
  <c r="D23" i="8"/>
  <c r="D80"/>
  <c r="E63"/>
  <c r="E77" s="1"/>
  <c r="D66"/>
  <c r="C66" s="1"/>
  <c r="D52"/>
  <c r="C52" s="1"/>
  <c r="F17"/>
  <c r="D38"/>
  <c r="E106" i="5"/>
  <c r="G106"/>
  <c r="F106"/>
  <c r="F14" i="8"/>
  <c r="F7"/>
  <c r="F6"/>
  <c r="D9"/>
  <c r="E6" s="1"/>
  <c r="D2"/>
  <c r="D3" s="1"/>
  <c r="C3"/>
  <c r="D16"/>
  <c r="D17" s="1"/>
  <c r="D107" i="5"/>
  <c r="E66" i="8" l="1"/>
  <c r="E80" s="1"/>
  <c r="K29" i="2"/>
  <c r="J20" i="6"/>
  <c r="E15" i="8"/>
  <c r="C80"/>
  <c r="F12"/>
  <c r="F16"/>
  <c r="C38"/>
  <c r="F13"/>
  <c r="F15"/>
  <c r="G107" i="5"/>
  <c r="F107"/>
  <c r="E107"/>
  <c r="F9" i="8"/>
  <c r="C21"/>
  <c r="E8"/>
  <c r="E7"/>
  <c r="E13"/>
  <c r="E17"/>
  <c r="E16"/>
  <c r="D108" i="5"/>
  <c r="L29" i="2" l="1"/>
  <c r="L20" i="6" s="1"/>
  <c r="K20"/>
  <c r="C129" i="5"/>
  <c r="B7" s="1"/>
  <c r="E14" i="8"/>
  <c r="D21"/>
  <c r="C19" s="1"/>
  <c r="E12"/>
  <c r="E108" i="5"/>
  <c r="E112" s="1"/>
  <c r="G108"/>
  <c r="F108"/>
  <c r="E9" i="8"/>
  <c r="D109" i="5"/>
  <c r="B9" l="1"/>
  <c r="C22" i="8"/>
  <c r="B22"/>
  <c r="B19"/>
  <c r="D110" i="5"/>
  <c r="D111" s="1"/>
  <c r="G109"/>
  <c r="G112" s="1"/>
  <c r="F109"/>
  <c r="F112" s="1"/>
  <c r="D22" i="8" l="1"/>
  <c r="D79"/>
  <c r="H16" i="5"/>
  <c r="H14"/>
  <c r="H15"/>
  <c r="D65" i="8"/>
  <c r="D51"/>
  <c r="C51" s="1"/>
  <c r="D37"/>
  <c r="C37" s="1"/>
  <c r="H113" i="5"/>
  <c r="H114" s="1"/>
  <c r="F19" i="2" s="1"/>
  <c r="F36" i="6" s="1"/>
  <c r="E65" i="8" l="1"/>
  <c r="E79" s="1"/>
  <c r="C65"/>
  <c r="H24" i="2"/>
  <c r="C79" i="8"/>
  <c r="B24"/>
  <c r="D81" s="1"/>
  <c r="C81" s="1"/>
  <c r="E22" i="5"/>
  <c r="E21"/>
  <c r="E20"/>
  <c r="D22"/>
  <c r="D21"/>
  <c r="D20"/>
  <c r="L21" i="4"/>
  <c r="L23" s="1"/>
  <c r="K21"/>
  <c r="K23" s="1"/>
  <c r="J21"/>
  <c r="I21"/>
  <c r="I23" s="1"/>
  <c r="H21"/>
  <c r="H23" s="1"/>
  <c r="G21"/>
  <c r="G23" s="1"/>
  <c r="F21"/>
  <c r="J23"/>
  <c r="F23"/>
  <c r="E55" i="5"/>
  <c r="E57" s="1"/>
  <c r="B51" s="1"/>
  <c r="B53"/>
  <c r="B25"/>
  <c r="H18" i="6" l="1"/>
  <c r="I24" i="2"/>
  <c r="B55" i="5"/>
  <c r="B56"/>
  <c r="I18" i="6" l="1"/>
  <c r="J24" i="2"/>
  <c r="J18" i="6" s="1"/>
  <c r="I52" i="5"/>
  <c r="I51"/>
  <c r="I50"/>
  <c r="I49"/>
  <c r="I48"/>
  <c r="B79"/>
  <c r="B80" s="1"/>
  <c r="C31" i="2" s="1"/>
  <c r="C22" i="6" s="1"/>
  <c r="L3"/>
  <c r="L3" i="3" s="1"/>
  <c r="L3" i="4" s="1"/>
  <c r="K3" i="6"/>
  <c r="K3" i="3" s="1"/>
  <c r="K3" i="4" s="1"/>
  <c r="J3" i="6"/>
  <c r="J3" i="3" s="1"/>
  <c r="J3" i="4" s="1"/>
  <c r="I3" i="6"/>
  <c r="I3" i="3" s="1"/>
  <c r="I3" i="4" s="1"/>
  <c r="H3" i="6"/>
  <c r="H3" i="3" s="1"/>
  <c r="H3" i="4" s="1"/>
  <c r="G3" i="6"/>
  <c r="G3" i="3" s="1"/>
  <c r="G3" i="4" s="1"/>
  <c r="F3" i="6"/>
  <c r="F3" i="3" s="1"/>
  <c r="F3" i="4" s="1"/>
  <c r="E3" i="6"/>
  <c r="E3" i="3" s="1"/>
  <c r="E3" i="4" s="1"/>
  <c r="D3" i="6"/>
  <c r="D3" i="3" s="1"/>
  <c r="D3" i="4" s="1"/>
  <c r="C3" i="6"/>
  <c r="C3" i="3" s="1"/>
  <c r="C3" i="4" s="1"/>
  <c r="B3" i="6"/>
  <c r="B3" i="3" s="1"/>
  <c r="B3" i="4" s="1"/>
  <c r="L35" i="5"/>
  <c r="K35"/>
  <c r="J35"/>
  <c r="I35"/>
  <c r="H35"/>
  <c r="G35"/>
  <c r="F35"/>
  <c r="E35"/>
  <c r="D35"/>
  <c r="C35"/>
  <c r="B35"/>
  <c r="L38"/>
  <c r="L37"/>
  <c r="L36"/>
  <c r="M34"/>
  <c r="M33"/>
  <c r="M32"/>
  <c r="B39"/>
  <c r="K38"/>
  <c r="K36"/>
  <c r="J38"/>
  <c r="I38"/>
  <c r="H38"/>
  <c r="G38"/>
  <c r="F38"/>
  <c r="E38"/>
  <c r="D38"/>
  <c r="C38"/>
  <c r="K37"/>
  <c r="J37"/>
  <c r="I37"/>
  <c r="H37"/>
  <c r="G37"/>
  <c r="F37"/>
  <c r="E37"/>
  <c r="D37"/>
  <c r="C37"/>
  <c r="J36"/>
  <c r="I36"/>
  <c r="H36"/>
  <c r="G36"/>
  <c r="F36"/>
  <c r="E36"/>
  <c r="D36"/>
  <c r="C36"/>
  <c r="C17"/>
  <c r="F16"/>
  <c r="F15"/>
  <c r="I16"/>
  <c r="I15"/>
  <c r="L23" i="2"/>
  <c r="L17" i="6" s="1"/>
  <c r="J22" i="2"/>
  <c r="J16" i="6" s="1"/>
  <c r="L21" i="2"/>
  <c r="L15" i="6" s="1"/>
  <c r="I14" i="5"/>
  <c r="F14"/>
  <c r="H62"/>
  <c r="H63" s="1"/>
  <c r="H64" s="1"/>
  <c r="H65" s="1"/>
  <c r="H66" s="1"/>
  <c r="H67" s="1"/>
  <c r="H68" s="1"/>
  <c r="H69" s="1"/>
  <c r="B63"/>
  <c r="B64"/>
  <c r="L9" i="2" l="1"/>
  <c r="L6" i="6" s="1"/>
  <c r="K10" i="2"/>
  <c r="K7" i="6" s="1"/>
  <c r="D31" i="2"/>
  <c r="D22" i="6" s="1"/>
  <c r="I53" i="5"/>
  <c r="B33" i="2" s="1"/>
  <c r="B23" i="6" s="1"/>
  <c r="B11" i="2"/>
  <c r="B8" i="6" s="1"/>
  <c r="D11" i="2"/>
  <c r="D8" i="6" s="1"/>
  <c r="F11" i="2"/>
  <c r="F8" i="6" s="1"/>
  <c r="H11" i="2"/>
  <c r="H8" i="6" s="1"/>
  <c r="J11" i="2"/>
  <c r="J8" i="6" s="1"/>
  <c r="L11" i="2"/>
  <c r="L8" i="6" s="1"/>
  <c r="B21" i="2"/>
  <c r="B15" i="6" s="1"/>
  <c r="B23" i="2"/>
  <c r="B17" i="6" s="1"/>
  <c r="C11" i="2"/>
  <c r="C8" i="6" s="1"/>
  <c r="E11" i="2"/>
  <c r="E8" i="6" s="1"/>
  <c r="G11" i="2"/>
  <c r="G8" i="6" s="1"/>
  <c r="I11" i="2"/>
  <c r="I8" i="6" s="1"/>
  <c r="K11" i="2"/>
  <c r="K8" i="6" s="1"/>
  <c r="B22" i="2"/>
  <c r="B16" i="6" s="1"/>
  <c r="D21" i="2"/>
  <c r="D15" i="6" s="1"/>
  <c r="F21" i="2"/>
  <c r="F15" i="6" s="1"/>
  <c r="H21" i="2"/>
  <c r="H15" i="6" s="1"/>
  <c r="J21" i="2"/>
  <c r="J15" i="6" s="1"/>
  <c r="C22" i="2"/>
  <c r="C16" i="6" s="1"/>
  <c r="E22" i="2"/>
  <c r="E16" i="6" s="1"/>
  <c r="G22" i="2"/>
  <c r="G16" i="6" s="1"/>
  <c r="I22" i="2"/>
  <c r="I16" i="6" s="1"/>
  <c r="K22" i="2"/>
  <c r="K16" i="6" s="1"/>
  <c r="D23" i="2"/>
  <c r="D17" i="6" s="1"/>
  <c r="F23" i="2"/>
  <c r="F17" i="6" s="1"/>
  <c r="H23" i="2"/>
  <c r="H17" i="6" s="1"/>
  <c r="J23" i="2"/>
  <c r="J17" i="6" s="1"/>
  <c r="M37" i="5"/>
  <c r="D39"/>
  <c r="F39"/>
  <c r="H39"/>
  <c r="J39"/>
  <c r="L39"/>
  <c r="C9" i="2"/>
  <c r="C6" i="6" s="1"/>
  <c r="E9" i="2"/>
  <c r="E6" i="6" s="1"/>
  <c r="G9" i="2"/>
  <c r="G6" i="6" s="1"/>
  <c r="I9" i="2"/>
  <c r="I6" i="6" s="1"/>
  <c r="K9" i="2"/>
  <c r="K6" i="6" s="1"/>
  <c r="B10" i="2"/>
  <c r="B7" i="6" s="1"/>
  <c r="D10" i="2"/>
  <c r="D7" i="6" s="1"/>
  <c r="F10" i="2"/>
  <c r="F7" i="6" s="1"/>
  <c r="H10" i="2"/>
  <c r="H7" i="6" s="1"/>
  <c r="J10" i="2"/>
  <c r="J7" i="6" s="1"/>
  <c r="L10" i="2"/>
  <c r="L7" i="6" s="1"/>
  <c r="L22" i="2"/>
  <c r="L16" i="6" s="1"/>
  <c r="C21" i="2"/>
  <c r="C15" i="6" s="1"/>
  <c r="E21" i="2"/>
  <c r="E15" i="6" s="1"/>
  <c r="G21" i="2"/>
  <c r="G15" i="6" s="1"/>
  <c r="I21" i="2"/>
  <c r="I15" i="6" s="1"/>
  <c r="K21" i="2"/>
  <c r="K15" i="6" s="1"/>
  <c r="D22" i="2"/>
  <c r="D16" i="6" s="1"/>
  <c r="F22" i="2"/>
  <c r="F16" i="6" s="1"/>
  <c r="H22" i="2"/>
  <c r="H16" i="6" s="1"/>
  <c r="C23" i="2"/>
  <c r="C17" i="6" s="1"/>
  <c r="E23" i="2"/>
  <c r="E17" i="6" s="1"/>
  <c r="G23" i="2"/>
  <c r="G17" i="6" s="1"/>
  <c r="I23" i="2"/>
  <c r="I17" i="6" s="1"/>
  <c r="K23" i="2"/>
  <c r="K17" i="6" s="1"/>
  <c r="M36" i="5"/>
  <c r="C39"/>
  <c r="E39"/>
  <c r="G39"/>
  <c r="I39"/>
  <c r="K39"/>
  <c r="B9" i="2"/>
  <c r="D9"/>
  <c r="D6" i="6" s="1"/>
  <c r="F9" i="2"/>
  <c r="H9"/>
  <c r="J9"/>
  <c r="C10"/>
  <c r="C7" i="6" s="1"/>
  <c r="E10" i="2"/>
  <c r="E7" i="6" s="1"/>
  <c r="G10" i="2"/>
  <c r="G7" i="6" s="1"/>
  <c r="I10" i="2"/>
  <c r="I7" i="6" s="1"/>
  <c r="M35" i="5"/>
  <c r="M38"/>
  <c r="I65"/>
  <c r="K68"/>
  <c r="J66"/>
  <c r="I62"/>
  <c r="I64"/>
  <c r="I66"/>
  <c r="J63"/>
  <c r="J65"/>
  <c r="J67"/>
  <c r="K63"/>
  <c r="K65"/>
  <c r="K67"/>
  <c r="I63"/>
  <c r="J62"/>
  <c r="J64"/>
  <c r="K62"/>
  <c r="K64"/>
  <c r="K66"/>
  <c r="F17"/>
  <c r="F24" s="1"/>
  <c r="B11" i="3" l="1"/>
  <c r="J4"/>
  <c r="J6" i="6"/>
  <c r="J11" s="1"/>
  <c r="F4" i="3"/>
  <c r="F6" i="6"/>
  <c r="B15" i="2"/>
  <c r="B6" i="6"/>
  <c r="H4" i="3"/>
  <c r="H6" i="6"/>
  <c r="H11" s="1"/>
  <c r="D4" i="3"/>
  <c r="K4"/>
  <c r="K5"/>
  <c r="G5"/>
  <c r="C5"/>
  <c r="J5"/>
  <c r="F5"/>
  <c r="G4"/>
  <c r="C4"/>
  <c r="F11" i="6"/>
  <c r="L11"/>
  <c r="E11"/>
  <c r="I11"/>
  <c r="D11"/>
  <c r="L4" i="3"/>
  <c r="I5"/>
  <c r="E5"/>
  <c r="H5"/>
  <c r="D5"/>
  <c r="E31" i="2"/>
  <c r="E22" i="6" s="1"/>
  <c r="I4" i="3"/>
  <c r="E4"/>
  <c r="L5"/>
  <c r="C11" i="6"/>
  <c r="G11"/>
  <c r="K11"/>
  <c r="C33" i="2"/>
  <c r="C23" i="6" s="1"/>
  <c r="K34" i="2"/>
  <c r="K24" i="6" s="1"/>
  <c r="G34" i="2"/>
  <c r="G24" i="6" s="1"/>
  <c r="C34" i="2"/>
  <c r="C24" i="6" s="1"/>
  <c r="J34" i="2"/>
  <c r="J24" i="6" s="1"/>
  <c r="B34" i="2"/>
  <c r="B24" i="6" s="1"/>
  <c r="D34" i="2"/>
  <c r="D24" i="6" s="1"/>
  <c r="E34" i="2"/>
  <c r="E24" i="6" s="1"/>
  <c r="H34" i="2"/>
  <c r="H24" i="6" s="1"/>
  <c r="I34" i="2"/>
  <c r="I24" i="6" s="1"/>
  <c r="L34" i="2"/>
  <c r="L24" i="6" s="1"/>
  <c r="F34" i="2"/>
  <c r="F24" i="6" s="1"/>
  <c r="M39" i="5"/>
  <c r="B5" i="3"/>
  <c r="G15" i="5"/>
  <c r="G14"/>
  <c r="B4" i="3"/>
  <c r="G16" i="5"/>
  <c r="J70"/>
  <c r="I70"/>
  <c r="K70"/>
  <c r="C11" i="3" l="1"/>
  <c r="B12"/>
  <c r="C12"/>
  <c r="F31" i="2"/>
  <c r="F22" i="6" s="1"/>
  <c r="E12" i="3"/>
  <c r="D12"/>
  <c r="D33" i="2"/>
  <c r="D23" i="6" s="1"/>
  <c r="B11"/>
  <c r="G17" i="5"/>
  <c r="K71"/>
  <c r="K72" s="1"/>
  <c r="D11" i="3" l="1"/>
  <c r="B19" i="2"/>
  <c r="C24" i="8"/>
  <c r="G31" i="2"/>
  <c r="G22" i="6" s="1"/>
  <c r="F12" i="3"/>
  <c r="E33" i="2"/>
  <c r="E23" i="6" s="1"/>
  <c r="C73" i="5"/>
  <c r="B18" i="2" s="1"/>
  <c r="B62" i="5"/>
  <c r="B35" i="6" l="1"/>
  <c r="B36"/>
  <c r="B43" s="1"/>
  <c r="E11" i="3"/>
  <c r="B10" i="4"/>
  <c r="C10" s="1"/>
  <c r="D10" s="1"/>
  <c r="H31" i="2"/>
  <c r="H22" i="6" s="1"/>
  <c r="G12" i="3"/>
  <c r="F33" i="2"/>
  <c r="F23" i="6" s="1"/>
  <c r="D67" i="8"/>
  <c r="D53"/>
  <c r="D24"/>
  <c r="D39"/>
  <c r="B66" i="5"/>
  <c r="B30" i="2" s="1"/>
  <c r="B21" i="6" s="1"/>
  <c r="F11" i="3" l="1"/>
  <c r="E10" i="4"/>
  <c r="I31" i="2"/>
  <c r="I22" i="6" s="1"/>
  <c r="H12" i="3"/>
  <c r="G33" i="2"/>
  <c r="G23" i="6" s="1"/>
  <c r="E67" i="8"/>
  <c r="E81" s="1"/>
  <c r="C53"/>
  <c r="C67"/>
  <c r="C39"/>
  <c r="B13" i="3"/>
  <c r="C30" i="2"/>
  <c r="C21" i="6" s="1"/>
  <c r="G11" i="3" l="1"/>
  <c r="F10" i="4"/>
  <c r="J31" i="2"/>
  <c r="J22" i="6" s="1"/>
  <c r="I12" i="3"/>
  <c r="H33" i="2"/>
  <c r="H23" i="6" s="1"/>
  <c r="C13" i="3"/>
  <c r="D30" i="2"/>
  <c r="D21" i="6" s="1"/>
  <c r="H11" i="3" l="1"/>
  <c r="G10" i="4"/>
  <c r="K31" i="2"/>
  <c r="K22" i="6" s="1"/>
  <c r="J12" i="3"/>
  <c r="I33" i="2"/>
  <c r="I23" i="6" s="1"/>
  <c r="E30" i="2"/>
  <c r="E21" i="6" s="1"/>
  <c r="D13" i="3"/>
  <c r="I11" l="1"/>
  <c r="H10" i="4"/>
  <c r="L31" i="2"/>
  <c r="L22" i="6" s="1"/>
  <c r="K12" i="3"/>
  <c r="J33" i="2"/>
  <c r="J23" i="6" s="1"/>
  <c r="E13" i="3"/>
  <c r="F30" i="2"/>
  <c r="F21" i="6" s="1"/>
  <c r="J11" i="3" l="1"/>
  <c r="I10" i="4"/>
  <c r="L12" i="3"/>
  <c r="C26" i="8"/>
  <c r="B26"/>
  <c r="K33" i="2"/>
  <c r="K23" i="6" s="1"/>
  <c r="F13" i="3"/>
  <c r="G30" i="2"/>
  <c r="G21" i="6" s="1"/>
  <c r="K11" i="3" l="1"/>
  <c r="J10" i="4"/>
  <c r="D55" i="8"/>
  <c r="C55" s="1"/>
  <c r="D41"/>
  <c r="C41" s="1"/>
  <c r="D69"/>
  <c r="D83"/>
  <c r="D26"/>
  <c r="B28"/>
  <c r="L33" i="2"/>
  <c r="L23" i="6" s="1"/>
  <c r="G13" i="3"/>
  <c r="H30" i="2"/>
  <c r="H21" i="6" s="1"/>
  <c r="L11" i="3" l="1"/>
  <c r="K10" i="4"/>
  <c r="E69" i="8"/>
  <c r="E83" s="1"/>
  <c r="C69"/>
  <c r="C83"/>
  <c r="C85" s="1"/>
  <c r="D85"/>
  <c r="B83" s="1"/>
  <c r="H13" i="3"/>
  <c r="I30" i="2"/>
  <c r="I21" i="6" s="1"/>
  <c r="L10" i="4" l="1"/>
  <c r="B84" i="8"/>
  <c r="B79"/>
  <c r="B80"/>
  <c r="B82"/>
  <c r="B81"/>
  <c r="I13" i="3"/>
  <c r="J30" i="2"/>
  <c r="J21" i="6" s="1"/>
  <c r="J13" i="3" l="1"/>
  <c r="K30" i="2"/>
  <c r="K21" i="6" s="1"/>
  <c r="K13" i="3" l="1"/>
  <c r="L30" i="2"/>
  <c r="L21" i="6" s="1"/>
  <c r="B49" i="5"/>
  <c r="B54" s="1"/>
  <c r="B57" s="1"/>
  <c r="B26" i="4"/>
  <c r="C26" s="1"/>
  <c r="D26" s="1"/>
  <c r="E26" s="1"/>
  <c r="F26" s="1"/>
  <c r="G26" s="1"/>
  <c r="H26" s="1"/>
  <c r="I26" s="1"/>
  <c r="J26" s="1"/>
  <c r="K26" s="1"/>
  <c r="L26" s="1"/>
  <c r="B20" i="2" l="1"/>
  <c r="C20"/>
  <c r="C37" i="6" s="1"/>
  <c r="D20" i="2"/>
  <c r="D37" i="6" s="1"/>
  <c r="E20" i="2"/>
  <c r="E37" i="6" s="1"/>
  <c r="C27" i="8"/>
  <c r="L13" i="3"/>
  <c r="B27" i="5"/>
  <c r="C27" s="1"/>
  <c r="B9" i="4"/>
  <c r="B58" i="5"/>
  <c r="B29" i="8" s="1"/>
  <c r="B28" i="5"/>
  <c r="B26"/>
  <c r="C26" s="1"/>
  <c r="E48"/>
  <c r="E51" s="1"/>
  <c r="B37" i="6" l="1"/>
  <c r="B20" i="4"/>
  <c r="C20" s="1"/>
  <c r="C28" i="5"/>
  <c r="D86" i="8"/>
  <c r="C86" s="1"/>
  <c r="C87" s="1"/>
  <c r="C88" s="1"/>
  <c r="B30"/>
  <c r="B31" s="1"/>
  <c r="B32" s="1"/>
  <c r="D42"/>
  <c r="C42" s="1"/>
  <c r="D70"/>
  <c r="D56"/>
  <c r="C29"/>
  <c r="D27"/>
  <c r="B45" i="5"/>
  <c r="E45"/>
  <c r="I45"/>
  <c r="F45"/>
  <c r="J45"/>
  <c r="C45"/>
  <c r="G45"/>
  <c r="D45"/>
  <c r="H45"/>
  <c r="K45"/>
  <c r="L45"/>
  <c r="B43"/>
  <c r="F43"/>
  <c r="J43"/>
  <c r="L43"/>
  <c r="E43"/>
  <c r="I43"/>
  <c r="D43"/>
  <c r="H43"/>
  <c r="C43"/>
  <c r="G43"/>
  <c r="K43"/>
  <c r="B44"/>
  <c r="F44"/>
  <c r="J44"/>
  <c r="C44"/>
  <c r="G44"/>
  <c r="K44"/>
  <c r="D44"/>
  <c r="H44"/>
  <c r="L44"/>
  <c r="E44"/>
  <c r="I44"/>
  <c r="C9" i="4"/>
  <c r="B21" l="1"/>
  <c r="B23" s="1"/>
  <c r="D87" i="8"/>
  <c r="D88" s="1"/>
  <c r="D44"/>
  <c r="D72"/>
  <c r="D58"/>
  <c r="C56"/>
  <c r="E70"/>
  <c r="E84" s="1"/>
  <c r="C70"/>
  <c r="C44"/>
  <c r="D29"/>
  <c r="D90" i="5"/>
  <c r="D20" i="4"/>
  <c r="C21"/>
  <c r="C23" s="1"/>
  <c r="D9"/>
  <c r="D6" i="3"/>
  <c r="D7" s="1"/>
  <c r="D9" s="1"/>
  <c r="J6"/>
  <c r="J7" s="1"/>
  <c r="J9" s="1"/>
  <c r="B6"/>
  <c r="B7" s="1"/>
  <c r="B9" s="1"/>
  <c r="K6"/>
  <c r="K7" s="1"/>
  <c r="K9" s="1"/>
  <c r="G6"/>
  <c r="G7" s="1"/>
  <c r="G9" s="1"/>
  <c r="H6"/>
  <c r="H7" s="1"/>
  <c r="H9" s="1"/>
  <c r="I6"/>
  <c r="I7" s="1"/>
  <c r="I9" s="1"/>
  <c r="L6"/>
  <c r="L7" s="1"/>
  <c r="L9" s="1"/>
  <c r="F6"/>
  <c r="F7" s="1"/>
  <c r="F9" s="1"/>
  <c r="C6"/>
  <c r="C7" s="1"/>
  <c r="C9" s="1"/>
  <c r="E6"/>
  <c r="E7" s="1"/>
  <c r="E9" s="1"/>
  <c r="B36" i="2"/>
  <c r="B26" i="6" s="1"/>
  <c r="D78" i="8" l="1"/>
  <c r="E9" i="4"/>
  <c r="E72" i="8"/>
  <c r="E86" s="1"/>
  <c r="C72"/>
  <c r="C58"/>
  <c r="E20" i="4"/>
  <c r="E21" s="1"/>
  <c r="E23" s="1"/>
  <c r="D21"/>
  <c r="D23" s="1"/>
  <c r="C14" i="3"/>
  <c r="F9" i="4" l="1"/>
  <c r="C16" i="3"/>
  <c r="D14"/>
  <c r="C18" l="1"/>
  <c r="G9" i="4"/>
  <c r="D16" i="3"/>
  <c r="D18" s="1"/>
  <c r="E14"/>
  <c r="C36" i="2" l="1"/>
  <c r="C21" i="3"/>
  <c r="H9" i="4"/>
  <c r="C23" i="3"/>
  <c r="F14"/>
  <c r="E16"/>
  <c r="E18" s="1"/>
  <c r="D36" i="2"/>
  <c r="D26" i="6" s="1"/>
  <c r="D28" s="1"/>
  <c r="C38" i="2" l="1"/>
  <c r="C26" i="6"/>
  <c r="C28" s="1"/>
  <c r="D38" i="2"/>
  <c r="C30" i="6"/>
  <c r="C31" s="1"/>
  <c r="C32" s="1"/>
  <c r="C45" s="1"/>
  <c r="I9" i="4"/>
  <c r="D30" i="6"/>
  <c r="D31" s="1"/>
  <c r="D32" s="1"/>
  <c r="D45" s="1"/>
  <c r="D21" i="3"/>
  <c r="E36" i="2"/>
  <c r="E26" i="6" s="1"/>
  <c r="E28" s="1"/>
  <c r="F16" i="3"/>
  <c r="F18" s="1"/>
  <c r="G14"/>
  <c r="E30" i="6" l="1"/>
  <c r="E31" s="1"/>
  <c r="E32" s="1"/>
  <c r="E45" s="1"/>
  <c r="E38" i="2"/>
  <c r="J9" i="4"/>
  <c r="D23" i="3"/>
  <c r="E21"/>
  <c r="G16"/>
  <c r="G18" s="1"/>
  <c r="H14"/>
  <c r="F36" i="2"/>
  <c r="F26" i="6" s="1"/>
  <c r="F28" s="1"/>
  <c r="F30" l="1"/>
  <c r="F31" s="1"/>
  <c r="F32" s="1"/>
  <c r="F45" s="1"/>
  <c r="F38" i="2"/>
  <c r="K9" i="4"/>
  <c r="E23" i="3"/>
  <c r="F21"/>
  <c r="H16"/>
  <c r="H18" s="1"/>
  <c r="G19"/>
  <c r="G36" i="2" s="1"/>
  <c r="G26" i="6" s="1"/>
  <c r="G28" s="1"/>
  <c r="I14" i="3"/>
  <c r="G30" i="6" l="1"/>
  <c r="G31" s="1"/>
  <c r="G32" s="1"/>
  <c r="G45" s="1"/>
  <c r="G38" i="2"/>
  <c r="L9" i="4"/>
  <c r="L14" i="3"/>
  <c r="L16" s="1"/>
  <c r="L18" s="1"/>
  <c r="F23"/>
  <c r="G21"/>
  <c r="I16"/>
  <c r="I18" s="1"/>
  <c r="K14"/>
  <c r="J14"/>
  <c r="H19"/>
  <c r="H36" i="2" s="1"/>
  <c r="H26" i="6" s="1"/>
  <c r="H28" s="1"/>
  <c r="H30" l="1"/>
  <c r="H31" s="1"/>
  <c r="H32" s="1"/>
  <c r="H45" s="1"/>
  <c r="H38" i="2"/>
  <c r="L19" i="3"/>
  <c r="L36" i="2" s="1"/>
  <c r="L26" i="6" s="1"/>
  <c r="L28" s="1"/>
  <c r="G23" i="3"/>
  <c r="K16"/>
  <c r="K18" s="1"/>
  <c r="I19"/>
  <c r="I36" i="2" s="1"/>
  <c r="I26" i="6" s="1"/>
  <c r="I28" s="1"/>
  <c r="J16" i="3"/>
  <c r="J18" s="1"/>
  <c r="H21"/>
  <c r="I38" i="2" l="1"/>
  <c r="L30" i="6"/>
  <c r="L31" s="1"/>
  <c r="L32" s="1"/>
  <c r="L45" s="1"/>
  <c r="L38" i="2"/>
  <c r="I30" i="6"/>
  <c r="I31" s="1"/>
  <c r="I32" s="1"/>
  <c r="I45" s="1"/>
  <c r="L21" i="3"/>
  <c r="H23"/>
  <c r="I21"/>
  <c r="J36" i="2"/>
  <c r="J26" i="6" s="1"/>
  <c r="J28" s="1"/>
  <c r="K19" i="3"/>
  <c r="K36" i="2" s="1"/>
  <c r="K26" i="6" s="1"/>
  <c r="K28" s="1"/>
  <c r="J38" i="2" l="1"/>
  <c r="K30" i="6"/>
  <c r="K31" s="1"/>
  <c r="K32" s="1"/>
  <c r="K45" s="1"/>
  <c r="K38" i="2"/>
  <c r="J30" i="6"/>
  <c r="J32" s="1"/>
  <c r="J45" s="1"/>
  <c r="L23" i="3"/>
  <c r="I23"/>
  <c r="K21"/>
  <c r="K23" s="1"/>
  <c r="J21"/>
  <c r="J23" l="1"/>
  <c r="B32" i="2"/>
  <c r="B41" i="6" l="1"/>
  <c r="B28" s="1"/>
  <c r="B30" s="1"/>
  <c r="B32" s="1"/>
  <c r="C25" i="8"/>
  <c r="B38" i="2"/>
  <c r="D54" i="8"/>
  <c r="L11" i="4"/>
  <c r="L14" s="1"/>
  <c r="J11"/>
  <c r="J14" s="1"/>
  <c r="H11"/>
  <c r="H14" s="1"/>
  <c r="F11"/>
  <c r="F14" s="1"/>
  <c r="D11"/>
  <c r="D14" s="1"/>
  <c r="B11"/>
  <c r="B14" s="1"/>
  <c r="K11"/>
  <c r="K14" s="1"/>
  <c r="I11"/>
  <c r="I14" s="1"/>
  <c r="G11"/>
  <c r="G14" s="1"/>
  <c r="E11"/>
  <c r="E14" s="1"/>
  <c r="C11"/>
  <c r="C14" s="1"/>
  <c r="B14" i="3"/>
  <c r="B16" s="1"/>
  <c r="B18" l="1"/>
  <c r="B21" s="1"/>
  <c r="B27" i="4" s="1"/>
  <c r="C27" s="1"/>
  <c r="B45" i="6"/>
  <c r="B48" s="1"/>
  <c r="B40" i="2"/>
  <c r="D68" i="8"/>
  <c r="D71" s="1"/>
  <c r="D73" s="1"/>
  <c r="C28"/>
  <c r="C30" s="1"/>
  <c r="C31" s="1"/>
  <c r="C32" s="1"/>
  <c r="D25"/>
  <c r="D28" s="1"/>
  <c r="D30" s="1"/>
  <c r="D31" s="1"/>
  <c r="D32" s="1"/>
  <c r="D40"/>
  <c r="C68"/>
  <c r="C71" s="1"/>
  <c r="C73" s="1"/>
  <c r="C74" s="1"/>
  <c r="C54"/>
  <c r="C57" s="1"/>
  <c r="C59" s="1"/>
  <c r="C60" s="1"/>
  <c r="D57"/>
  <c r="D43"/>
  <c r="B49" i="6"/>
  <c r="B28" i="4" l="1"/>
  <c r="B30" s="1"/>
  <c r="E68" i="8"/>
  <c r="E82" s="1"/>
  <c r="B5" i="4"/>
  <c r="B8" s="1"/>
  <c r="B16" s="1"/>
  <c r="B34" s="1"/>
  <c r="C6" i="2"/>
  <c r="C15" s="1"/>
  <c r="C40" s="1"/>
  <c r="D6" s="1"/>
  <c r="D15" s="1"/>
  <c r="C40" i="8"/>
  <c r="C43" s="1"/>
  <c r="C45" s="1"/>
  <c r="C46" s="1"/>
  <c r="B53"/>
  <c r="B67"/>
  <c r="B55"/>
  <c r="B51"/>
  <c r="B66"/>
  <c r="B65"/>
  <c r="B52"/>
  <c r="B69"/>
  <c r="B56"/>
  <c r="B70"/>
  <c r="D59"/>
  <c r="D74"/>
  <c r="D64"/>
  <c r="B10" i="5" s="1"/>
  <c r="B68" i="8"/>
  <c r="E71"/>
  <c r="E85" s="1"/>
  <c r="B54"/>
  <c r="B37"/>
  <c r="B38"/>
  <c r="B41"/>
  <c r="B39"/>
  <c r="B42"/>
  <c r="D45"/>
  <c r="B40"/>
  <c r="D27" i="4"/>
  <c r="C28"/>
  <c r="C30" s="1"/>
  <c r="B32" l="1"/>
  <c r="D40" i="2"/>
  <c r="E6" s="1"/>
  <c r="E15" s="1"/>
  <c r="C5" i="4"/>
  <c r="C8" s="1"/>
  <c r="C16" s="1"/>
  <c r="C34" s="1"/>
  <c r="E73" i="8"/>
  <c r="E87" s="1"/>
  <c r="D50"/>
  <c r="D60"/>
  <c r="D36"/>
  <c r="D46"/>
  <c r="D28" i="4"/>
  <c r="D30" s="1"/>
  <c r="E27"/>
  <c r="E40" i="2" l="1"/>
  <c r="F6" s="1"/>
  <c r="F15" s="1"/>
  <c r="D5" i="4"/>
  <c r="D8" s="1"/>
  <c r="D16" s="1"/>
  <c r="D34" s="1"/>
  <c r="C32"/>
  <c r="E74" i="8"/>
  <c r="E88" s="1"/>
  <c r="F27" i="4"/>
  <c r="E28"/>
  <c r="E30" s="1"/>
  <c r="E5" l="1"/>
  <c r="E8" s="1"/>
  <c r="E16" s="1"/>
  <c r="E34" s="1"/>
  <c r="F40" i="2"/>
  <c r="D32" i="4"/>
  <c r="F28"/>
  <c r="F30" s="1"/>
  <c r="G27"/>
  <c r="E32" l="1"/>
  <c r="F5"/>
  <c r="F8" s="1"/>
  <c r="F16" s="1"/>
  <c r="F34" s="1"/>
  <c r="G6" i="2"/>
  <c r="G15" s="1"/>
  <c r="G40" s="1"/>
  <c r="H6" s="1"/>
  <c r="H15" s="1"/>
  <c r="G28" i="4"/>
  <c r="G30" s="1"/>
  <c r="H27"/>
  <c r="F32" l="1"/>
  <c r="G5"/>
  <c r="G8" s="1"/>
  <c r="G16" s="1"/>
  <c r="G34" s="1"/>
  <c r="H28"/>
  <c r="H30" s="1"/>
  <c r="I27"/>
  <c r="G32" l="1"/>
  <c r="H40" i="2"/>
  <c r="I6" s="1"/>
  <c r="I15" s="1"/>
  <c r="J27" i="4"/>
  <c r="I28"/>
  <c r="I30" s="1"/>
  <c r="H5" l="1"/>
  <c r="H8" s="1"/>
  <c r="H16" s="1"/>
  <c r="J28"/>
  <c r="J30" s="1"/>
  <c r="K27"/>
  <c r="I40" i="2" l="1"/>
  <c r="J6" s="1"/>
  <c r="J15" s="1"/>
  <c r="H34" i="4"/>
  <c r="H32"/>
  <c r="L27"/>
  <c r="L28" s="1"/>
  <c r="L30" s="1"/>
  <c r="K28"/>
  <c r="K30" s="1"/>
  <c r="J40" i="2" l="1"/>
  <c r="K6" s="1"/>
  <c r="K15" s="1"/>
  <c r="I5" i="4"/>
  <c r="I8" s="1"/>
  <c r="I16" s="1"/>
  <c r="I34" l="1"/>
  <c r="I32"/>
  <c r="J5"/>
  <c r="J8" s="1"/>
  <c r="J16" s="1"/>
  <c r="J34" l="1"/>
  <c r="J32"/>
  <c r="K40" i="2"/>
  <c r="L6" s="1"/>
  <c r="L15" s="1"/>
  <c r="K5" i="4" l="1"/>
  <c r="K8" s="1"/>
  <c r="K16" s="1"/>
  <c r="L40" i="2"/>
  <c r="L5" i="4" l="1"/>
  <c r="L8" s="1"/>
  <c r="L16" s="1"/>
  <c r="L32" s="1"/>
  <c r="K34"/>
  <c r="K32"/>
  <c r="L34" l="1"/>
</calcChain>
</file>

<file path=xl/comments1.xml><?xml version="1.0" encoding="utf-8"?>
<comments xmlns="http://schemas.openxmlformats.org/spreadsheetml/2006/main">
  <authors>
    <author>Jorge Bonilla</author>
  </authors>
  <commentList>
    <comment ref="A70" authorId="0">
      <text>
        <r>
          <rPr>
            <b/>
            <sz val="9"/>
            <color indexed="81"/>
            <rFont val="Tahoma"/>
            <family val="2"/>
          </rPr>
          <t>Jorge Bonilla:</t>
        </r>
        <r>
          <rPr>
            <sz val="9"/>
            <color indexed="81"/>
            <rFont val="Tahoma"/>
            <family val="2"/>
          </rPr>
          <t xml:space="preserve">
Estudio Topográfico, estructural, bioclimático, de iluminaciones, ambiental, etc.</t>
        </r>
      </text>
    </comment>
  </commentList>
</comments>
</file>

<file path=xl/sharedStrings.xml><?xml version="1.0" encoding="utf-8"?>
<sst xmlns="http://schemas.openxmlformats.org/spreadsheetml/2006/main" count="409" uniqueCount="283">
  <si>
    <t>UTILIDAD BRUTA</t>
  </si>
  <si>
    <t>UTILIDAD ANTES DE IMPUESTOS</t>
  </si>
  <si>
    <t>UTILIDAD NETA</t>
  </si>
  <si>
    <t>CAJA INICIAL</t>
  </si>
  <si>
    <t>INGRESOS</t>
  </si>
  <si>
    <t>PROVENIENTES DE INVERSIONISTAS</t>
  </si>
  <si>
    <t>TOTAL INGRESOS</t>
  </si>
  <si>
    <t>EGRESOS</t>
  </si>
  <si>
    <t xml:space="preserve">ESTUDIO DE FACTIBILIDAD </t>
  </si>
  <si>
    <t xml:space="preserve">DISEÑO ARQUITECTÓNICO  Y URBANISTICO </t>
  </si>
  <si>
    <t>COMPRA DE TERRENO</t>
  </si>
  <si>
    <t>MARKETING ESTRATEGICO</t>
  </si>
  <si>
    <t xml:space="preserve">COSTOS DE PUESTA EN MARCHA </t>
  </si>
  <si>
    <t>GASTOS OPERATIVOS Y ADMINISTRATIVOS</t>
  </si>
  <si>
    <t>IMPUESTOS</t>
  </si>
  <si>
    <t>TOTAL EGRESOS</t>
  </si>
  <si>
    <t xml:space="preserve">TOTAL SALDO </t>
  </si>
  <si>
    <t>AÑO 1</t>
  </si>
  <si>
    <t>AÑO 2</t>
  </si>
  <si>
    <t>FUERZA DE VENTAS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</si>
  <si>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</si>
  <si>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</si>
  <si>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</si>
  <si>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</si>
  <si>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</si>
  <si>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</si>
  <si>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</si>
  <si>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</si>
  <si>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VENTAS NETAS</t>
  </si>
  <si>
    <t>GASTOS ADMINISTRATIVOS</t>
  </si>
  <si>
    <t xml:space="preserve">ESTRATEGIA DE MARKETING </t>
  </si>
  <si>
    <t>TOTAL GASTOS OPERACIONALES</t>
  </si>
  <si>
    <t>UTILIDAD OPERATIVA</t>
  </si>
  <si>
    <t xml:space="preserve">IMPUESTOS </t>
  </si>
  <si>
    <t>GASTOS COMERCIALES</t>
  </si>
  <si>
    <t>ACTIVOS</t>
  </si>
  <si>
    <t>CAJA</t>
  </si>
  <si>
    <t>BANCOS</t>
  </si>
  <si>
    <t>CUENTAS POR COBRAR</t>
  </si>
  <si>
    <t>TOTAL ACTIVOS CORRIENTES</t>
  </si>
  <si>
    <t xml:space="preserve">TOTAL ACTIVOS FIJOS </t>
  </si>
  <si>
    <t>TOTAL ACTIVOS</t>
  </si>
  <si>
    <t>PASIVOS</t>
  </si>
  <si>
    <t>CUENTAS POR PAGAR</t>
  </si>
  <si>
    <t>PRESTAMOS A CORTO PLAZO</t>
  </si>
  <si>
    <t>DEUDAS A LARGO PLAZO</t>
  </si>
  <si>
    <t>TOTAL PASIVO</t>
  </si>
  <si>
    <t>PATRIMONIO</t>
  </si>
  <si>
    <t>UTILIDADES RETENIDAS</t>
  </si>
  <si>
    <t>PATRIMONIO TOTAL</t>
  </si>
  <si>
    <t>TOTAL PASIVO Y PATRIMONIO</t>
  </si>
  <si>
    <t>DIFERENCIA</t>
  </si>
  <si>
    <t>DISEÑO Y ESTUDIOS</t>
  </si>
  <si>
    <t xml:space="preserve">INVERSIONES </t>
  </si>
  <si>
    <t>VENTA DE VIVIENDA</t>
  </si>
  <si>
    <t>ESTUDIO DE  FACTIBILIDAD</t>
  </si>
  <si>
    <t>PRECIO CASA</t>
  </si>
  <si>
    <t xml:space="preserve">ESTUDIO DE SUELOS </t>
  </si>
  <si>
    <t>COSTO CASA</t>
  </si>
  <si>
    <t>ESTUDIO DE MERCADOS</t>
  </si>
  <si>
    <t xml:space="preserve">ADMINISTRACIÓN CASA POR AÑO </t>
  </si>
  <si>
    <t>ESTUDIOS ADICIONALES</t>
  </si>
  <si>
    <t>TOTAL ESTUDIOS</t>
  </si>
  <si>
    <t>CONSTRUCCIÓN DE ETAPAS Y VENTA DE CASAS</t>
  </si>
  <si>
    <t xml:space="preserve">AÑO </t>
  </si>
  <si>
    <t>TERRENO</t>
  </si>
  <si>
    <r>
      <t>VALOR M</t>
    </r>
    <r>
      <rPr>
        <sz val="11"/>
        <color theme="1"/>
        <rFont val="Calibri"/>
        <family val="2"/>
      </rPr>
      <t>²</t>
    </r>
  </si>
  <si>
    <t xml:space="preserve">LICENCIAS </t>
  </si>
  <si>
    <t>VALOR HECTAREA</t>
  </si>
  <si>
    <t xml:space="preserve">REGISTROS </t>
  </si>
  <si>
    <t>CERTIFICACIONES</t>
  </si>
  <si>
    <t>TOTAL TERRENO</t>
  </si>
  <si>
    <t xml:space="preserve">TOTAL </t>
  </si>
  <si>
    <t xml:space="preserve">CONCEPTO </t>
  </si>
  <si>
    <t xml:space="preserve">FLUJO DE TESORERIA </t>
  </si>
  <si>
    <t xml:space="preserve">ESTADO DE RESULTADOS </t>
  </si>
  <si>
    <t xml:space="preserve">BALANCE PROYECTADO </t>
  </si>
  <si>
    <t xml:space="preserve">FLUJO DE CAJA  PROYECTADO </t>
  </si>
  <si>
    <t xml:space="preserve">UTILIDAD ANTES DE IMPUESTOS </t>
  </si>
  <si>
    <t>IMPUESTO A LA RENTA (35%)</t>
  </si>
  <si>
    <t xml:space="preserve">UTILIDAD NETA DEL EJERCICIO </t>
  </si>
  <si>
    <t>INVERSIONES</t>
  </si>
  <si>
    <t>TOTAL INVERSIONES</t>
  </si>
  <si>
    <t>FLUJO DE CAJA NETO</t>
  </si>
  <si>
    <t>VALOR PRESENTE NETO  DEL FLUJO DE CAJA (VPN)</t>
  </si>
  <si>
    <t>TIR</t>
  </si>
  <si>
    <t>ROS</t>
  </si>
  <si>
    <t>ROA</t>
  </si>
  <si>
    <t xml:space="preserve">MARKETING ESTRATEGICO </t>
  </si>
  <si>
    <t xml:space="preserve">PERSONAL ANUAL </t>
  </si>
  <si>
    <t>PAUTAS PUBLICITARIAS</t>
  </si>
  <si>
    <t xml:space="preserve">PARTICIPACIÓN EVENTOS </t>
  </si>
  <si>
    <t xml:space="preserve">OTROS </t>
  </si>
  <si>
    <t xml:space="preserve">DECREMENTO ANUAL </t>
  </si>
  <si>
    <t>…</t>
  </si>
  <si>
    <t>COSTO DISEÑO ARQUITECTÓNICO POR UNIDADES DE CASA</t>
  </si>
  <si>
    <t>100% = X</t>
  </si>
  <si>
    <t>130% = Y</t>
  </si>
  <si>
    <t>2 A 5</t>
  </si>
  <si>
    <t>6 A 10</t>
  </si>
  <si>
    <t>PRIMERA</t>
  </si>
  <si>
    <t>11 A 20</t>
  </si>
  <si>
    <t>21 A 50</t>
  </si>
  <si>
    <t>51 A 100</t>
  </si>
  <si>
    <t>101 A 300</t>
  </si>
  <si>
    <t># CASAS</t>
  </si>
  <si>
    <t>TAMAÑO TERRENO</t>
  </si>
  <si>
    <t>CASA TIPO I</t>
  </si>
  <si>
    <t>CASA TIPO II</t>
  </si>
  <si>
    <t>CASA TIPO III</t>
  </si>
  <si>
    <t>OTROS DATOS</t>
  </si>
  <si>
    <t>COSTO M2 CONSTRUCCIÓN</t>
  </si>
  <si>
    <t>PRECIO M2 CONSTRUIDO</t>
  </si>
  <si>
    <t>ÁREA DE LA CASA</t>
  </si>
  <si>
    <t>ÍNDICE DE OCUPACIÓN</t>
  </si>
  <si>
    <t>No. CASAS</t>
  </si>
  <si>
    <t>TOTAL POR TIPO</t>
  </si>
  <si>
    <t>TOTAL DISEÑO ARQUITECTÓNICO VIVIENDA SIN IVA</t>
  </si>
  <si>
    <t>TOTAL DISEÑO ARQUITECTÓNICO VIVIENDA CON IVA</t>
  </si>
  <si>
    <t>COSTO TERRENO POR CASA TIPO I</t>
  </si>
  <si>
    <t>COSTO TERRENO POR CASA TIPO II</t>
  </si>
  <si>
    <t>COSTO TERRENO POR CASA TIPO III</t>
  </si>
  <si>
    <t>CASAS CONSTRUIDAS TIPO II</t>
  </si>
  <si>
    <t>CASAS CONSTRUIDAS TIPO I</t>
  </si>
  <si>
    <t>CASAS CONSTRUIDAS TIPO III</t>
  </si>
  <si>
    <t>TOTAL CASAS CONSTRUIDAS</t>
  </si>
  <si>
    <t>CASAS VENDIDAS TIPO I</t>
  </si>
  <si>
    <t>CASAS VENDIDAS TIPO II</t>
  </si>
  <si>
    <t>CASAS VENDIDAS TIPO III</t>
  </si>
  <si>
    <t>TOTAL CASAS VENDIDAS</t>
  </si>
  <si>
    <t>TOTAL CASAS</t>
  </si>
  <si>
    <t>VENTA DE CASAS TIPO I</t>
  </si>
  <si>
    <t>VENTA DE CASAS TIPO II</t>
  </si>
  <si>
    <t>AÑO 0</t>
  </si>
  <si>
    <t>COSTO TOTAL TERRENO CASA TIPO I</t>
  </si>
  <si>
    <t>COSTO TOTAL TERRENO CASA TIPO II</t>
  </si>
  <si>
    <t>COSTO TOTAL TERRENO CASA TIPO III</t>
  </si>
  <si>
    <t>COSTO TOTAL TERRENO CASAS</t>
  </si>
  <si>
    <t>PORCENTAJE PREDIO</t>
  </si>
  <si>
    <t>MARGEN BRUTO</t>
  </si>
  <si>
    <t>OCUPACIÓN TERRENO Ha</t>
  </si>
  <si>
    <t>TOTAL Ha</t>
  </si>
  <si>
    <t>No. Ha PROYECTO</t>
  </si>
  <si>
    <t>No. Ha SESIÓN</t>
  </si>
  <si>
    <t>TOTAL # Ha</t>
  </si>
  <si>
    <t>TOTAL COSTO POR Ha</t>
  </si>
  <si>
    <t>COSTO DE CONSTRUCCIÓN</t>
  </si>
  <si>
    <t>COSTO TERRENO</t>
  </si>
  <si>
    <t>TOTAL COSTO DE VENTAS</t>
  </si>
  <si>
    <t>BROCHURE</t>
  </si>
  <si>
    <t>PERSONAL COMERCIAL POR PRESTACIÓN DE SERVICIOS</t>
  </si>
  <si>
    <t>VENDEDOR</t>
  </si>
  <si>
    <t>PRESTACIÓN DE SERVICIOS AL MES</t>
  </si>
  <si>
    <t>TOTAL MES</t>
  </si>
  <si>
    <t>TOTAL AÑO</t>
  </si>
  <si>
    <t>INCREMENTO ANUAL</t>
  </si>
  <si>
    <t>COMISIONES SOBRE VENTA</t>
  </si>
  <si>
    <t>HONORARIOS ABOGADOS</t>
  </si>
  <si>
    <t>HONORARIOS GERENTE PROYECTO</t>
  </si>
  <si>
    <t>HONORARIOS CONTADOR</t>
  </si>
  <si>
    <t>GASTOS DE OFICINA</t>
  </si>
  <si>
    <t>HONORARIOS SEGURIDAD</t>
  </si>
  <si>
    <t>TOTAL GASTOS OPERATIVOS</t>
  </si>
  <si>
    <t>PUESTA EN MARCHA (LICENCIAS Y REGISTROS)</t>
  </si>
  <si>
    <t>VALOR M²</t>
  </si>
  <si>
    <t>VALOR DE LA SESIÓN POR HECTAREA</t>
  </si>
  <si>
    <t>TOTAL TERRENO SESIÓN</t>
  </si>
  <si>
    <t>TOTAL TERRENO PREDIO</t>
  </si>
  <si>
    <t>SESIÓN TOTAL</t>
  </si>
  <si>
    <t>PORCENTAJE</t>
  </si>
  <si>
    <t>SESIÓN VIVIENDA</t>
  </si>
  <si>
    <t>TASA DE OPORTUNIDAD WACC CONSTRUCCIÓN U.ANDES</t>
  </si>
  <si>
    <t>TOTAL PASIVOS CIRCULANTES</t>
  </si>
  <si>
    <t>CONSTRUCCIÓN HOTEL Y CC</t>
  </si>
  <si>
    <r>
      <t>VALOR M</t>
    </r>
    <r>
      <rPr>
        <sz val="11"/>
        <color theme="1"/>
        <rFont val="Calibri"/>
        <family val="2"/>
      </rPr>
      <t>² DE CONSTRUCCIÓN</t>
    </r>
  </si>
  <si>
    <t>VALOR M² DE DOTACIÓN</t>
  </si>
  <si>
    <t>METROS CUADRADOS DOBLE</t>
  </si>
  <si>
    <t>METROS CUADRADOS TRIPLE</t>
  </si>
  <si>
    <t>METROS CUADRADOS SUITES</t>
  </si>
  <si>
    <t>TOTAL METROS CUADRADOS HABITACIONES</t>
  </si>
  <si>
    <t>METROS CUADRADOS OTRAS ÁREAS</t>
  </si>
  <si>
    <t>VALOR METROS CUADRADOS DE CONSTRUCCIÓN</t>
  </si>
  <si>
    <t>VALOR METROS CUADRADOS DE DOTACIÓN</t>
  </si>
  <si>
    <t>TOTAL COSTO CONSTRUCCIÓN Y DOTACIÓN</t>
  </si>
  <si>
    <t>VALOR METROS CUADRADOS OTRAS ÁREAS</t>
  </si>
  <si>
    <t xml:space="preserve">CAPACIDAD EN HOSPEDAJE </t>
  </si>
  <si>
    <t>DIA</t>
  </si>
  <si>
    <t>MES</t>
  </si>
  <si>
    <t>AÑO</t>
  </si>
  <si>
    <t>TOTAL HABITACIONES</t>
  </si>
  <si>
    <t>ESTÁNDAR</t>
  </si>
  <si>
    <t>JUNIOR SUITE</t>
  </si>
  <si>
    <t>SUITE</t>
  </si>
  <si>
    <t xml:space="preserve">TOTAL PERSONAS </t>
  </si>
  <si>
    <t>SECTOR O TIPO DE OFERTA</t>
  </si>
  <si>
    <t>METROS CUADRADOS</t>
  </si>
  <si>
    <t>PRECIO METRO CUADRADO</t>
  </si>
  <si>
    <t>VENTAS ESTIMADAS</t>
  </si>
  <si>
    <t>HOTEL Y CC</t>
  </si>
  <si>
    <t>SUBTOTAL VIVIENDA</t>
  </si>
  <si>
    <t>TOTAL</t>
  </si>
  <si>
    <t>DESARROLLOS INMOBILIARIOS</t>
  </si>
  <si>
    <t>INGRESOS POR VENTAS</t>
  </si>
  <si>
    <t>COSTOS TERRENO</t>
  </si>
  <si>
    <t>COSTOS DE CONSTRUCCIÓN</t>
  </si>
  <si>
    <t>COSTOS INDIRECTOS</t>
  </si>
  <si>
    <t>COMISIÓN DE VENTAS</t>
  </si>
  <si>
    <t>PUBLICIDAD Y MERCADEO</t>
  </si>
  <si>
    <t>COSTOS DE ARQUITECTURA</t>
  </si>
  <si>
    <t>DEPRECIACIONES</t>
  </si>
  <si>
    <t>RUBRO</t>
  </si>
  <si>
    <t>PERIODO DE DEPRECIACIÓN (AÑOS)</t>
  </si>
  <si>
    <t>MONTO A DEPRECIAR</t>
  </si>
  <si>
    <t>DEPRECIACIÓN POR PERIODO</t>
  </si>
  <si>
    <t>EDIFICACIONES</t>
  </si>
  <si>
    <t>HABITACIÓN I</t>
  </si>
  <si>
    <t>HABITACIÓN II</t>
  </si>
  <si>
    <t>HABITACIÓN III</t>
  </si>
  <si>
    <t>OTRAS ÁREAS</t>
  </si>
  <si>
    <t>PORCENTAJE SOBRE VENTAS TOTALES</t>
  </si>
  <si>
    <t>INCIDENCIA SOBRE METROS CUADRADOS</t>
  </si>
  <si>
    <t>OCUPACIÓN TERRENO CONSTRUIDO</t>
  </si>
  <si>
    <t>TOTAL COSTO CONSTRUCCIÓN</t>
  </si>
  <si>
    <t>COSTO M2 CONSTRUIDO</t>
  </si>
  <si>
    <t>COSTOS URBANISMO</t>
  </si>
  <si>
    <t>CONSTRUCCIÓN CASAS TIPO I CON URBANISMO</t>
  </si>
  <si>
    <t>CONSTRUCCIÓN CASAS TIPO II CON URBANISMO</t>
  </si>
  <si>
    <t>CONSTRUCCIÓN CASAS TIPO III CON URBANISMO</t>
  </si>
  <si>
    <t>COSTOS DESARROLLO INMOBILIARIO</t>
  </si>
  <si>
    <t>TOTAL COSTOS DESARROLLOS</t>
  </si>
  <si>
    <r>
      <t>Incidencia Mtr</t>
    </r>
    <r>
      <rPr>
        <b/>
        <sz val="11"/>
        <color theme="1"/>
        <rFont val="Calibri"/>
        <family val="2"/>
      </rPr>
      <t>² Const.</t>
    </r>
  </si>
  <si>
    <r>
      <t>Incidencia Mtr</t>
    </r>
    <r>
      <rPr>
        <b/>
        <sz val="11"/>
        <color theme="1"/>
        <rFont val="Calibri"/>
        <family val="2"/>
      </rPr>
      <t>² Ventas</t>
    </r>
  </si>
  <si>
    <t>TOTAL DESARROLLOS INMOBILIARIOS</t>
  </si>
  <si>
    <t xml:space="preserve">TOTAL VIVIENDA </t>
  </si>
  <si>
    <t>HOTEL Y CENTRO DE CONVENCIONES</t>
  </si>
  <si>
    <t xml:space="preserve">TOTAL PROYECTO </t>
  </si>
  <si>
    <t>CONSTRUCCIÓN HOTEL CON URBANISMO</t>
  </si>
  <si>
    <t xml:space="preserve">PRECIO VENTA METRO CUADRADO </t>
  </si>
  <si>
    <t>VENTA DE CASAS TIPO III</t>
  </si>
  <si>
    <t xml:space="preserve">VENTA HOTEL </t>
  </si>
  <si>
    <t>TOTAL DISEÑO ARQUITECTÓNICO HOTEL SIN IVA</t>
  </si>
  <si>
    <t>TOTAL DISEÑO ARQUITECTÓNICO HOTEL CON IVA</t>
  </si>
  <si>
    <t>COMISIONES VIVIENDA</t>
  </si>
  <si>
    <t xml:space="preserve">COMISIONES HOTEL </t>
  </si>
  <si>
    <t>COSTO M2 URBANISMO VIVIENDA</t>
  </si>
  <si>
    <t>COSTO M2 URBANISMO HOTEL</t>
  </si>
  <si>
    <t xml:space="preserve">CONSTRUCCIÓN INSTALACIONES CLUB </t>
  </si>
  <si>
    <t>CONSTRUCCIÓN M2</t>
  </si>
  <si>
    <t xml:space="preserve">TOTAL METROS </t>
  </si>
  <si>
    <t>TOTAL CONSTRUCCIÓN</t>
  </si>
  <si>
    <t xml:space="preserve">COSTO DISEÑO ARQUITECTÓNICO CLUB SOCIAL </t>
  </si>
  <si>
    <t>PLANTA I</t>
  </si>
  <si>
    <t xml:space="preserve">MANTENIMIENTO CAMPO DE GOLF </t>
  </si>
  <si>
    <t>PERSONAL ANUAL</t>
  </si>
  <si>
    <t xml:space="preserve">EQUIPOS ANUAL </t>
  </si>
  <si>
    <t xml:space="preserve">INCREMENTO ANUAL </t>
  </si>
  <si>
    <t xml:space="preserve">CONSTRUCCIÓN CAMPO DE GOLF </t>
  </si>
  <si>
    <r>
      <t>CONSTRUCCIÓN  M</t>
    </r>
    <r>
      <rPr>
        <sz val="11"/>
        <color theme="1"/>
        <rFont val="Calibri"/>
        <family val="2"/>
      </rPr>
      <t>²</t>
    </r>
  </si>
  <si>
    <t>TOTAL HECTÁREA</t>
  </si>
  <si>
    <t>No DE HECTAREAS</t>
  </si>
  <si>
    <t>TOTAL VIVIENDA + GOLF</t>
  </si>
  <si>
    <t>DISEÑO CAMPO DE GOLF</t>
  </si>
  <si>
    <t>TOTAL DISEÑO + CONSTRUCCIÓN</t>
  </si>
  <si>
    <t>DISEÑO DE CAMPO DE GOLF</t>
  </si>
  <si>
    <t>CONSTRUCCIÓN DEL CAMPO DE GOLF</t>
  </si>
  <si>
    <t>CONSTRUCCIÓN DE LAS INSTALACIONES</t>
  </si>
  <si>
    <t>DISEÑO DE LAS INSTALACIONES</t>
  </si>
  <si>
    <t>COSTO M2 URBANISMO GOLF</t>
  </si>
  <si>
    <t>TOTAL POR EL PERIODO DEL PROYECTO</t>
  </si>
  <si>
    <t>CAMPO DE GOLF</t>
  </si>
  <si>
    <t>CONSTRUCCIÓN DE INSTALACIONES GOLF</t>
  </si>
  <si>
    <t>VIVIENDA + GOLF</t>
  </si>
  <si>
    <t>VIVIENDA + GOLF TIPO I</t>
  </si>
  <si>
    <t>VIVIENDA + GOLF TIPO II</t>
  </si>
  <si>
    <t>VIVIENDA +GOLF TIPO III</t>
  </si>
  <si>
    <t>VIVIENDA TIPO I + GOLF</t>
  </si>
  <si>
    <t>VIVIENDA TIPO II + GOLF</t>
  </si>
  <si>
    <t>VIVIENDA TIPO III + GOLF</t>
  </si>
  <si>
    <t xml:space="preserve">DISEÑO DE LAS INSTALACIONES SEDE SOCIAL </t>
  </si>
  <si>
    <t>PROYECTO DE VIVIENDA  CON GOLF</t>
  </si>
  <si>
    <t>PROYECTO DE VIVIENDA CON GOLF</t>
  </si>
  <si>
    <t>PROYECTO VIVIENDA CON GOLF</t>
  </si>
  <si>
    <t>DATOS GENERALES VIVIENDA CON GOLF</t>
  </si>
</sst>
</file>

<file path=xl/styles.xml><?xml version="1.0" encoding="utf-8"?>
<styleSheet xmlns="http://schemas.openxmlformats.org/spreadsheetml/2006/main">
  <numFmts count="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&quot;$&quot;\ * #,##0_);_(&quot;$&quot;\ * \(#,##0\);_(&quot;$&quot;\ * &quot;-&quot;??_);_(@_)"/>
    <numFmt numFmtId="165" formatCode="_(&quot;$&quot;\ * #,##0.0000_);_(&quot;$&quot;\ * \(#,##0.0000\);_(&quot;$&quot;\ * &quot;-&quot;??_);_(@_)"/>
    <numFmt numFmtId="166" formatCode="0.0000"/>
    <numFmt numFmtId="167" formatCode="0.0%"/>
    <numFmt numFmtId="168" formatCode="_(* #,##0_);_(* \(#,##0\);_(* &quot;-&quot;??_);_(@_)"/>
    <numFmt numFmtId="169" formatCode="_([$$-240A]\ * #,##0_);_([$$-240A]\ * \(#,##0\);_([$$-240A]\ 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0" xfId="0" applyNumberFormat="1"/>
    <xf numFmtId="9" fontId="0" fillId="0" borderId="0" xfId="2" applyFont="1"/>
    <xf numFmtId="164" fontId="0" fillId="0" borderId="1" xfId="1" applyNumberFormat="1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164" fontId="0" fillId="0" borderId="1" xfId="0" applyNumberFormat="1" applyBorder="1"/>
    <xf numFmtId="0" fontId="0" fillId="0" borderId="1" xfId="0" applyFont="1" applyBorder="1"/>
    <xf numFmtId="0" fontId="0" fillId="0" borderId="1" xfId="0" applyFill="1" applyBorder="1"/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0" borderId="1" xfId="1" applyNumberFormat="1" applyFont="1" applyFill="1" applyBorder="1"/>
    <xf numFmtId="165" fontId="0" fillId="0" borderId="0" xfId="0" applyNumberFormat="1"/>
    <xf numFmtId="0" fontId="0" fillId="2" borderId="1" xfId="0" applyFill="1" applyBorder="1" applyAlignment="1">
      <alignment horizontal="left"/>
    </xf>
    <xf numFmtId="9" fontId="0" fillId="0" borderId="1" xfId="2" applyFont="1" applyBorder="1"/>
    <xf numFmtId="0" fontId="0" fillId="0" borderId="0" xfId="0" applyFill="1" applyBorder="1"/>
    <xf numFmtId="0" fontId="0" fillId="2" borderId="1" xfId="0" applyFill="1" applyBorder="1"/>
    <xf numFmtId="0" fontId="0" fillId="0" borderId="5" xfId="0" applyBorder="1"/>
    <xf numFmtId="0" fontId="0" fillId="2" borderId="2" xfId="0" applyFill="1" applyBorder="1"/>
    <xf numFmtId="164" fontId="0" fillId="2" borderId="1" xfId="0" applyNumberFormat="1" applyFill="1" applyBorder="1"/>
    <xf numFmtId="0" fontId="0" fillId="0" borderId="5" xfId="0" applyFont="1" applyBorder="1" applyAlignment="1">
      <alignment horizontal="center"/>
    </xf>
    <xf numFmtId="0" fontId="0" fillId="2" borderId="1" xfId="0" applyFont="1" applyFill="1" applyBorder="1"/>
    <xf numFmtId="164" fontId="0" fillId="2" borderId="1" xfId="1" applyNumberFormat="1" applyFont="1" applyFill="1" applyBorder="1"/>
    <xf numFmtId="0" fontId="0" fillId="3" borderId="1" xfId="0" applyFont="1" applyFill="1" applyBorder="1"/>
    <xf numFmtId="164" fontId="0" fillId="3" borderId="1" xfId="1" applyNumberFormat="1" applyFont="1" applyFill="1" applyBorder="1"/>
    <xf numFmtId="0" fontId="0" fillId="4" borderId="1" xfId="0" applyFill="1" applyBorder="1"/>
    <xf numFmtId="164" fontId="0" fillId="4" borderId="1" xfId="1" applyNumberFormat="1" applyFont="1" applyFill="1" applyBorder="1"/>
    <xf numFmtId="0" fontId="0" fillId="0" borderId="2" xfId="0" applyFill="1" applyBorder="1"/>
    <xf numFmtId="0" fontId="0" fillId="0" borderId="0" xfId="0" applyFill="1"/>
    <xf numFmtId="164" fontId="0" fillId="0" borderId="0" xfId="0" applyNumberFormat="1" applyFill="1" applyBorder="1"/>
    <xf numFmtId="9" fontId="0" fillId="0" borderId="1" xfId="2" applyFont="1" applyBorder="1" applyAlignment="1">
      <alignment horizontal="center"/>
    </xf>
    <xf numFmtId="43" fontId="0" fillId="0" borderId="0" xfId="3" applyFont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0" xfId="1" applyNumberFormat="1" applyFont="1" applyBorder="1"/>
    <xf numFmtId="0" fontId="0" fillId="2" borderId="1" xfId="0" applyFill="1" applyBorder="1" applyAlignment="1">
      <alignment horizontal="center" vertical="center"/>
    </xf>
    <xf numFmtId="9" fontId="0" fillId="0" borderId="1" xfId="0" applyNumberFormat="1" applyBorder="1"/>
    <xf numFmtId="10" fontId="0" fillId="0" borderId="1" xfId="0" applyNumberFormat="1" applyBorder="1"/>
    <xf numFmtId="10" fontId="0" fillId="0" borderId="1" xfId="2" applyNumberFormat="1" applyFont="1" applyBorder="1"/>
    <xf numFmtId="0" fontId="0" fillId="0" borderId="1" xfId="0" applyBorder="1" applyAlignment="1">
      <alignment horizontal="right"/>
    </xf>
    <xf numFmtId="16" fontId="0" fillId="0" borderId="1" xfId="0" applyNumberFormat="1" applyBorder="1" applyAlignment="1">
      <alignment horizontal="center"/>
    </xf>
    <xf numFmtId="0" fontId="0" fillId="0" borderId="0" xfId="0" applyBorder="1"/>
    <xf numFmtId="0" fontId="7" fillId="0" borderId="1" xfId="0" applyFont="1" applyBorder="1" applyAlignment="1">
      <alignment horizontal="center"/>
    </xf>
    <xf numFmtId="168" fontId="0" fillId="0" borderId="0" xfId="3" applyNumberFormat="1" applyFont="1"/>
    <xf numFmtId="2" fontId="0" fillId="0" borderId="7" xfId="0" applyNumberFormat="1" applyBorder="1"/>
    <xf numFmtId="0" fontId="7" fillId="0" borderId="0" xfId="0" applyFont="1" applyBorder="1" applyAlignment="1">
      <alignment horizontal="center"/>
    </xf>
    <xf numFmtId="168" fontId="0" fillId="0" borderId="1" xfId="3" applyNumberFormat="1" applyFont="1" applyBorder="1"/>
    <xf numFmtId="0" fontId="7" fillId="0" borderId="1" xfId="0" applyFont="1" applyBorder="1"/>
    <xf numFmtId="0" fontId="7" fillId="0" borderId="6" xfId="0" applyFont="1" applyBorder="1"/>
    <xf numFmtId="0" fontId="0" fillId="0" borderId="0" xfId="0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4" xfId="0" applyNumberFormat="1" applyBorder="1"/>
    <xf numFmtId="167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0" borderId="0" xfId="0" applyNumberFormat="1" applyBorder="1"/>
    <xf numFmtId="0" fontId="0" fillId="2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0" xfId="3" applyNumberFormat="1" applyFont="1" applyBorder="1"/>
    <xf numFmtId="9" fontId="0" fillId="0" borderId="0" xfId="2" applyFont="1" applyBorder="1"/>
    <xf numFmtId="0" fontId="0" fillId="0" borderId="9" xfId="0" applyBorder="1"/>
    <xf numFmtId="9" fontId="0" fillId="0" borderId="10" xfId="0" applyNumberFormat="1" applyBorder="1"/>
    <xf numFmtId="0" fontId="0" fillId="0" borderId="11" xfId="0" applyBorder="1"/>
    <xf numFmtId="164" fontId="0" fillId="0" borderId="12" xfId="0" applyNumberFormat="1" applyBorder="1"/>
    <xf numFmtId="0" fontId="0" fillId="0" borderId="13" xfId="0" applyBorder="1"/>
    <xf numFmtId="9" fontId="0" fillId="0" borderId="14" xfId="2" applyFont="1" applyBorder="1"/>
    <xf numFmtId="0" fontId="11" fillId="0" borderId="0" xfId="0" applyFont="1" applyFill="1" applyBorder="1"/>
    <xf numFmtId="0" fontId="0" fillId="2" borderId="15" xfId="0" applyFill="1" applyBorder="1"/>
    <xf numFmtId="164" fontId="0" fillId="0" borderId="15" xfId="0" applyNumberFormat="1" applyBorder="1"/>
    <xf numFmtId="0" fontId="11" fillId="0" borderId="1" xfId="0" applyFont="1" applyFill="1" applyBorder="1"/>
    <xf numFmtId="164" fontId="11" fillId="0" borderId="1" xfId="0" applyNumberFormat="1" applyFont="1" applyFill="1" applyBorder="1"/>
    <xf numFmtId="164" fontId="0" fillId="0" borderId="1" xfId="0" applyNumberFormat="1" applyFill="1" applyBorder="1"/>
    <xf numFmtId="0" fontId="11" fillId="2" borderId="1" xfId="0" applyFont="1" applyFill="1" applyBorder="1"/>
    <xf numFmtId="0" fontId="11" fillId="0" borderId="1" xfId="0" applyFont="1" applyBorder="1"/>
    <xf numFmtId="0" fontId="11" fillId="2" borderId="2" xfId="0" applyFont="1" applyFill="1" applyBorder="1"/>
    <xf numFmtId="0" fontId="0" fillId="2" borderId="6" xfId="0" applyFill="1" applyBorder="1"/>
    <xf numFmtId="164" fontId="0" fillId="0" borderId="12" xfId="1" applyNumberFormat="1" applyFont="1" applyBorder="1"/>
    <xf numFmtId="164" fontId="0" fillId="0" borderId="17" xfId="1" applyNumberFormat="1" applyFont="1" applyBorder="1"/>
    <xf numFmtId="164" fontId="0" fillId="0" borderId="14" xfId="1" applyNumberFormat="1" applyFont="1" applyBorder="1"/>
    <xf numFmtId="164" fontId="0" fillId="0" borderId="7" xfId="0" applyNumberFormat="1" applyFill="1" applyBorder="1"/>
    <xf numFmtId="0" fontId="0" fillId="0" borderId="1" xfId="0" applyBorder="1" applyAlignment="1">
      <alignment horizontal="center" wrapText="1"/>
    </xf>
    <xf numFmtId="169" fontId="0" fillId="0" borderId="1" xfId="0" applyNumberFormat="1" applyBorder="1"/>
    <xf numFmtId="0" fontId="7" fillId="0" borderId="13" xfId="0" applyFont="1" applyBorder="1"/>
    <xf numFmtId="164" fontId="0" fillId="0" borderId="2" xfId="1" applyNumberFormat="1" applyFont="1" applyBorder="1"/>
    <xf numFmtId="0" fontId="7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9" fontId="0" fillId="0" borderId="12" xfId="2" applyFont="1" applyBorder="1" applyAlignment="1">
      <alignment horizontal="center"/>
    </xf>
    <xf numFmtId="164" fontId="7" fillId="0" borderId="17" xfId="1" applyNumberFormat="1" applyFont="1" applyBorder="1"/>
    <xf numFmtId="164" fontId="7" fillId="0" borderId="20" xfId="1" applyNumberFormat="1" applyFont="1" applyBorder="1"/>
    <xf numFmtId="9" fontId="7" fillId="0" borderId="17" xfId="2" applyFont="1" applyBorder="1" applyAlignment="1">
      <alignment horizontal="center"/>
    </xf>
    <xf numFmtId="9" fontId="7" fillId="0" borderId="14" xfId="2" applyFont="1" applyBorder="1" applyAlignment="1">
      <alignment horizontal="center"/>
    </xf>
    <xf numFmtId="168" fontId="7" fillId="0" borderId="17" xfId="3" applyNumberFormat="1" applyFont="1" applyBorder="1"/>
    <xf numFmtId="168" fontId="0" fillId="0" borderId="0" xfId="0" applyNumberFormat="1"/>
    <xf numFmtId="0" fontId="7" fillId="0" borderId="10" xfId="0" applyFont="1" applyBorder="1" applyAlignment="1">
      <alignment horizontal="center" vertical="center" wrapText="1"/>
    </xf>
    <xf numFmtId="0" fontId="0" fillId="0" borderId="13" xfId="0" applyFill="1" applyBorder="1"/>
    <xf numFmtId="168" fontId="0" fillId="0" borderId="17" xfId="0" applyNumberFormat="1" applyBorder="1"/>
    <xf numFmtId="164" fontId="12" fillId="0" borderId="1" xfId="0" applyNumberFormat="1" applyFont="1" applyBorder="1"/>
    <xf numFmtId="10" fontId="0" fillId="0" borderId="0" xfId="2" applyNumberFormat="1" applyFont="1"/>
    <xf numFmtId="0" fontId="7" fillId="0" borderId="1" xfId="0" applyFont="1" applyBorder="1" applyAlignment="1">
      <alignment horizontal="center"/>
    </xf>
    <xf numFmtId="0" fontId="7" fillId="0" borderId="1" xfId="0" applyFont="1" applyFill="1" applyBorder="1"/>
    <xf numFmtId="164" fontId="7" fillId="0" borderId="1" xfId="0" applyNumberFormat="1" applyFont="1" applyFill="1" applyBorder="1"/>
    <xf numFmtId="164" fontId="7" fillId="0" borderId="1" xfId="1" applyNumberFormat="1" applyFont="1" applyBorder="1"/>
    <xf numFmtId="0" fontId="7" fillId="0" borderId="1" xfId="0" applyFont="1" applyBorder="1" applyAlignment="1">
      <alignment wrapText="1"/>
    </xf>
    <xf numFmtId="164" fontId="7" fillId="0" borderId="1" xfId="0" applyNumberFormat="1" applyFont="1" applyBorder="1" applyAlignment="1">
      <alignment wrapText="1"/>
    </xf>
    <xf numFmtId="44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10" fontId="0" fillId="0" borderId="1" xfId="2" applyNumberFormat="1" applyFont="1" applyBorder="1" applyAlignment="1">
      <alignment horizontal="center"/>
    </xf>
    <xf numFmtId="10" fontId="7" fillId="0" borderId="1" xfId="0" applyNumberFormat="1" applyFont="1" applyFill="1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0" fontId="7" fillId="0" borderId="0" xfId="0" applyFont="1" applyBorder="1"/>
    <xf numFmtId="10" fontId="7" fillId="0" borderId="0" xfId="0" applyNumberFormat="1" applyFont="1" applyBorder="1" applyAlignment="1">
      <alignment horizontal="center"/>
    </xf>
    <xf numFmtId="164" fontId="7" fillId="0" borderId="0" xfId="1" applyNumberFormat="1" applyFont="1" applyBorder="1"/>
    <xf numFmtId="16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44" fontId="0" fillId="0" borderId="0" xfId="1" applyFont="1"/>
    <xf numFmtId="0" fontId="0" fillId="0" borderId="1" xfId="0" applyBorder="1" applyAlignment="1">
      <alignment wrapText="1"/>
    </xf>
    <xf numFmtId="164" fontId="7" fillId="0" borderId="1" xfId="0" applyNumberFormat="1" applyFont="1" applyBorder="1"/>
    <xf numFmtId="164" fontId="0" fillId="0" borderId="1" xfId="0" applyNumberFormat="1" applyFont="1" applyBorder="1"/>
    <xf numFmtId="9" fontId="7" fillId="0" borderId="1" xfId="0" applyNumberFormat="1" applyFont="1" applyFill="1" applyBorder="1" applyAlignment="1">
      <alignment horizontal="center"/>
    </xf>
    <xf numFmtId="9" fontId="7" fillId="0" borderId="1" xfId="0" applyNumberFormat="1" applyFont="1" applyBorder="1" applyAlignment="1">
      <alignment horizontal="center"/>
    </xf>
    <xf numFmtId="10" fontId="7" fillId="0" borderId="1" xfId="0" applyNumberFormat="1" applyFont="1" applyBorder="1" applyAlignment="1">
      <alignment horizontal="center" vertical="center"/>
    </xf>
    <xf numFmtId="10" fontId="7" fillId="0" borderId="1" xfId="2" applyNumberFormat="1" applyFont="1" applyBorder="1"/>
    <xf numFmtId="0" fontId="7" fillId="0" borderId="1" xfId="0" applyFont="1" applyBorder="1" applyAlignment="1">
      <alignment horizontal="center"/>
    </xf>
    <xf numFmtId="0" fontId="0" fillId="2" borderId="11" xfId="0" applyFill="1" applyBorder="1"/>
    <xf numFmtId="0" fontId="0" fillId="0" borderId="12" xfId="0" applyBorder="1"/>
    <xf numFmtId="0" fontId="0" fillId="2" borderId="13" xfId="0" applyFill="1" applyBorder="1"/>
    <xf numFmtId="0" fontId="0" fillId="0" borderId="13" xfId="0" applyBorder="1" applyAlignment="1">
      <alignment horizontal="center"/>
    </xf>
    <xf numFmtId="9" fontId="0" fillId="0" borderId="17" xfId="0" applyNumberFormat="1" applyBorder="1"/>
    <xf numFmtId="10" fontId="0" fillId="0" borderId="17" xfId="0" applyNumberFormat="1" applyBorder="1"/>
    <xf numFmtId="9" fontId="0" fillId="0" borderId="14" xfId="0" applyNumberFormat="1" applyBorder="1"/>
    <xf numFmtId="164" fontId="0" fillId="0" borderId="14" xfId="0" applyNumberFormat="1" applyBorder="1"/>
    <xf numFmtId="0" fontId="0" fillId="0" borderId="3" xfId="0" applyFill="1" applyBorder="1"/>
    <xf numFmtId="164" fontId="0" fillId="0" borderId="30" xfId="1" applyNumberFormat="1" applyFont="1" applyBorder="1"/>
    <xf numFmtId="9" fontId="0" fillId="0" borderId="1" xfId="2" applyFont="1" applyFill="1" applyBorder="1"/>
    <xf numFmtId="0" fontId="0" fillId="2" borderId="9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43" fontId="7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6" fontId="5" fillId="2" borderId="8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</cellXfs>
  <cellStyles count="4">
    <cellStyle name="Millares" xfId="3" builtinId="3"/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8"/>
  <sheetViews>
    <sheetView tabSelected="1" zoomScaleNormal="100" workbookViewId="0">
      <selection activeCell="A2" sqref="A2"/>
    </sheetView>
  </sheetViews>
  <sheetFormatPr baseColWidth="10" defaultRowHeight="15"/>
  <cols>
    <col min="1" max="1" width="44.42578125" bestFit="1" customWidth="1"/>
    <col min="2" max="2" width="16.85546875" bestFit="1" customWidth="1"/>
    <col min="3" max="3" width="25.85546875" bestFit="1" customWidth="1"/>
    <col min="4" max="4" width="33.140625" bestFit="1" customWidth="1"/>
    <col min="5" max="5" width="23.5703125" bestFit="1" customWidth="1"/>
    <col min="6" max="6" width="23.42578125" bestFit="1" customWidth="1"/>
    <col min="7" max="7" width="21.140625" customWidth="1"/>
    <col min="8" max="8" width="16.7109375" bestFit="1" customWidth="1"/>
    <col min="9" max="9" width="15.42578125" bestFit="1" customWidth="1"/>
    <col min="10" max="10" width="15.5703125" bestFit="1" customWidth="1"/>
    <col min="11" max="12" width="14" bestFit="1" customWidth="1"/>
    <col min="13" max="13" width="12.85546875" customWidth="1"/>
  </cols>
  <sheetData>
    <row r="1" spans="1:13" ht="18.75">
      <c r="A1" s="165" t="s">
        <v>282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3" spans="1:13">
      <c r="A3" s="162" t="s">
        <v>54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</row>
    <row r="5" spans="1:13">
      <c r="A5" s="2" t="s">
        <v>244</v>
      </c>
      <c r="B5" s="5">
        <f>400000+B7</f>
        <v>704577.07446985249</v>
      </c>
    </row>
    <row r="6" spans="1:13">
      <c r="A6" s="2" t="s">
        <v>245</v>
      </c>
      <c r="B6" s="5">
        <v>245000</v>
      </c>
    </row>
    <row r="7" spans="1:13">
      <c r="A7" s="2" t="s">
        <v>267</v>
      </c>
      <c r="B7" s="5">
        <f>+(B120+E124+C129+B138+(60*B58))/D17</f>
        <v>304577.07446985255</v>
      </c>
    </row>
    <row r="8" spans="1:13">
      <c r="A8" s="2" t="s">
        <v>111</v>
      </c>
      <c r="B8" s="5">
        <v>1400000</v>
      </c>
    </row>
    <row r="9" spans="1:13">
      <c r="A9" s="2" t="s">
        <v>222</v>
      </c>
      <c r="B9" s="5">
        <f>+B5+B8</f>
        <v>2104577.0744698523</v>
      </c>
    </row>
    <row r="10" spans="1:13">
      <c r="A10" s="2" t="s">
        <v>223</v>
      </c>
      <c r="B10" s="5">
        <f>+'ESTRUCTURA FINANCIERA'!D64</f>
        <v>2613590.3584415633</v>
      </c>
    </row>
    <row r="11" spans="1:13">
      <c r="A11" s="2" t="s">
        <v>112</v>
      </c>
      <c r="B11" s="5">
        <v>3500000</v>
      </c>
    </row>
    <row r="12" spans="1:13">
      <c r="A12" s="43"/>
      <c r="B12" s="36"/>
    </row>
    <row r="13" spans="1:13">
      <c r="A13" s="11"/>
      <c r="B13" s="35" t="s">
        <v>113</v>
      </c>
      <c r="C13" s="35" t="s">
        <v>105</v>
      </c>
      <c r="D13" s="61" t="s">
        <v>221</v>
      </c>
      <c r="E13" s="35" t="s">
        <v>106</v>
      </c>
      <c r="F13" s="35" t="s">
        <v>140</v>
      </c>
      <c r="G13" s="35" t="s">
        <v>138</v>
      </c>
      <c r="H13" s="34" t="s">
        <v>58</v>
      </c>
      <c r="I13" s="35" t="s">
        <v>56</v>
      </c>
    </row>
    <row r="14" spans="1:13">
      <c r="A14" s="7" t="s">
        <v>107</v>
      </c>
      <c r="B14" s="1">
        <v>500</v>
      </c>
      <c r="C14" s="1">
        <v>50</v>
      </c>
      <c r="D14" s="63">
        <f>+B14*C14</f>
        <v>25000</v>
      </c>
      <c r="E14" s="2">
        <v>3000</v>
      </c>
      <c r="F14" s="2">
        <f>+(C14*E14)/10000</f>
        <v>15</v>
      </c>
      <c r="G14" s="16">
        <f>+F14/$F$17</f>
        <v>0.3</v>
      </c>
      <c r="H14" s="55">
        <f>+B14*$B$9</f>
        <v>1052288537.2349261</v>
      </c>
      <c r="I14" s="8">
        <f>+B14*$B$11</f>
        <v>1750000000</v>
      </c>
    </row>
    <row r="15" spans="1:13">
      <c r="A15" s="7" t="s">
        <v>108</v>
      </c>
      <c r="B15" s="1">
        <v>360</v>
      </c>
      <c r="C15" s="1">
        <v>100</v>
      </c>
      <c r="D15" s="63">
        <f t="shared" ref="D15:D16" si="0">+B15*C15</f>
        <v>36000</v>
      </c>
      <c r="E15" s="2">
        <v>1500</v>
      </c>
      <c r="F15" s="2">
        <f>+(C15*E15)/10000</f>
        <v>15</v>
      </c>
      <c r="G15" s="16">
        <f>+F15/$F$17</f>
        <v>0.3</v>
      </c>
      <c r="H15" s="55">
        <f t="shared" ref="H15:H16" si="1">+B15*$B$9</f>
        <v>757647746.80914676</v>
      </c>
      <c r="I15" s="8">
        <f>+B15*$B$11</f>
        <v>1260000000</v>
      </c>
    </row>
    <row r="16" spans="1:13">
      <c r="A16" s="7" t="s">
        <v>109</v>
      </c>
      <c r="B16" s="1">
        <v>180</v>
      </c>
      <c r="C16" s="1">
        <v>200</v>
      </c>
      <c r="D16" s="63">
        <f t="shared" si="0"/>
        <v>36000</v>
      </c>
      <c r="E16" s="2">
        <v>1000</v>
      </c>
      <c r="F16" s="2">
        <f>+(C16*E16)/10000</f>
        <v>20</v>
      </c>
      <c r="G16" s="16">
        <f>+F16/$F$17</f>
        <v>0.4</v>
      </c>
      <c r="H16" s="55">
        <f t="shared" si="1"/>
        <v>378823873.40457338</v>
      </c>
      <c r="I16" s="8">
        <f>+B16*$B$11</f>
        <v>630000000</v>
      </c>
    </row>
    <row r="17" spans="1:13">
      <c r="B17" s="44" t="s">
        <v>115</v>
      </c>
      <c r="C17" s="63">
        <f>+SUM(C14:C16)</f>
        <v>350</v>
      </c>
      <c r="D17" s="63">
        <f>+SUM(D14:D16)</f>
        <v>97000</v>
      </c>
      <c r="E17" s="44" t="s">
        <v>141</v>
      </c>
      <c r="F17" s="2">
        <f>+SUM(F14:F16)</f>
        <v>50</v>
      </c>
      <c r="G17" s="16">
        <f>+SUM(G14:G16)</f>
        <v>1</v>
      </c>
    </row>
    <row r="18" spans="1:13">
      <c r="B18" s="47"/>
      <c r="C18" s="64"/>
      <c r="D18" s="47"/>
      <c r="E18" s="43"/>
      <c r="F18" s="65"/>
    </row>
    <row r="19" spans="1:13">
      <c r="A19" s="11"/>
      <c r="B19" s="57" t="s">
        <v>113</v>
      </c>
      <c r="C19" s="57" t="s">
        <v>106</v>
      </c>
      <c r="D19" s="59" t="s">
        <v>58</v>
      </c>
      <c r="E19" s="57" t="s">
        <v>56</v>
      </c>
      <c r="F19" s="65"/>
    </row>
    <row r="20" spans="1:13">
      <c r="A20" s="7" t="s">
        <v>107</v>
      </c>
      <c r="B20" s="58">
        <v>500</v>
      </c>
      <c r="C20" s="2">
        <v>3000</v>
      </c>
      <c r="D20" s="55">
        <f>+B20*$B$8</f>
        <v>700000000</v>
      </c>
      <c r="E20" s="8">
        <f>+B20*$B$11</f>
        <v>1750000000</v>
      </c>
      <c r="F20" s="65"/>
    </row>
    <row r="21" spans="1:13">
      <c r="A21" s="7" t="s">
        <v>108</v>
      </c>
      <c r="B21" s="58">
        <v>360</v>
      </c>
      <c r="C21" s="2">
        <v>1500</v>
      </c>
      <c r="D21" s="55">
        <f>+B21*$B$8</f>
        <v>504000000</v>
      </c>
      <c r="E21" s="8">
        <f>+B21*$B$11</f>
        <v>1260000000</v>
      </c>
      <c r="F21" s="65"/>
    </row>
    <row r="22" spans="1:13">
      <c r="A22" s="7" t="s">
        <v>109</v>
      </c>
      <c r="B22" s="58">
        <v>180</v>
      </c>
      <c r="C22" s="2">
        <v>1000</v>
      </c>
      <c r="D22" s="55">
        <f>+B22*$B$8</f>
        <v>252000000</v>
      </c>
      <c r="E22" s="8">
        <f>+B22*$B$11</f>
        <v>630000000</v>
      </c>
      <c r="F22" s="65"/>
    </row>
    <row r="23" spans="1:13" ht="15.75" thickBot="1">
      <c r="C23" s="45"/>
      <c r="D23" s="47"/>
      <c r="E23" s="43"/>
    </row>
    <row r="24" spans="1:13" ht="15.75" thickBot="1">
      <c r="A24" s="162" t="s">
        <v>110</v>
      </c>
      <c r="B24" s="162"/>
      <c r="C24" s="174" t="s">
        <v>139</v>
      </c>
      <c r="E24" s="50" t="s">
        <v>114</v>
      </c>
      <c r="F24" s="46">
        <f>+C17/F17</f>
        <v>7</v>
      </c>
    </row>
    <row r="25" spans="1:13">
      <c r="A25" s="2" t="s">
        <v>60</v>
      </c>
      <c r="B25" s="5">
        <f>200000*12</f>
        <v>2400000</v>
      </c>
      <c r="C25" s="174"/>
    </row>
    <row r="26" spans="1:13">
      <c r="A26" s="2" t="s">
        <v>119</v>
      </c>
      <c r="B26" s="5">
        <f>+($B$57*G14)/C14</f>
        <v>161280000</v>
      </c>
      <c r="C26" s="16">
        <f>+I14/(H14+B26)</f>
        <v>1.4420281560589188</v>
      </c>
    </row>
    <row r="27" spans="1:13">
      <c r="A27" s="2" t="s">
        <v>120</v>
      </c>
      <c r="B27" s="5">
        <f>+($B$57*G15)/C15</f>
        <v>80640000</v>
      </c>
      <c r="C27" s="16">
        <f>+I15/(H15+B27)</f>
        <v>1.503063840305499</v>
      </c>
    </row>
    <row r="28" spans="1:13">
      <c r="A28" s="2" t="s">
        <v>121</v>
      </c>
      <c r="B28" s="5">
        <f>+($B$57*G16)/C16</f>
        <v>53760000</v>
      </c>
      <c r="C28" s="16">
        <f>+I16/(H16+B28)</f>
        <v>1.4563649704315109</v>
      </c>
    </row>
    <row r="29" spans="1:13">
      <c r="A29" s="17"/>
      <c r="B29" s="4"/>
    </row>
    <row r="30" spans="1:13">
      <c r="A30" s="162" t="s">
        <v>63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73" t="s">
        <v>130</v>
      </c>
    </row>
    <row r="31" spans="1:13">
      <c r="A31" s="52" t="s">
        <v>64</v>
      </c>
      <c r="B31" s="52">
        <v>0</v>
      </c>
      <c r="C31" s="52">
        <v>1</v>
      </c>
      <c r="D31" s="52">
        <v>2</v>
      </c>
      <c r="E31" s="52">
        <v>3</v>
      </c>
      <c r="F31" s="52">
        <v>4</v>
      </c>
      <c r="G31" s="52">
        <v>5</v>
      </c>
      <c r="H31" s="52">
        <v>6</v>
      </c>
      <c r="I31" s="52">
        <v>7</v>
      </c>
      <c r="J31" s="52">
        <v>8</v>
      </c>
      <c r="K31" s="52">
        <v>9</v>
      </c>
      <c r="L31" s="52">
        <v>10</v>
      </c>
      <c r="M31" s="173"/>
    </row>
    <row r="32" spans="1:13">
      <c r="A32" s="2" t="s">
        <v>123</v>
      </c>
      <c r="B32" s="2">
        <v>0</v>
      </c>
      <c r="C32" s="1">
        <v>2</v>
      </c>
      <c r="D32" s="1">
        <v>4</v>
      </c>
      <c r="E32" s="1">
        <v>6</v>
      </c>
      <c r="F32" s="1">
        <v>8</v>
      </c>
      <c r="G32" s="1">
        <v>10</v>
      </c>
      <c r="H32" s="1">
        <v>8</v>
      </c>
      <c r="I32" s="1">
        <v>6</v>
      </c>
      <c r="J32" s="1">
        <v>4</v>
      </c>
      <c r="K32" s="1">
        <v>2</v>
      </c>
      <c r="L32" s="1">
        <v>0</v>
      </c>
      <c r="M32" s="2">
        <f>+SUM(B32:L32)</f>
        <v>50</v>
      </c>
    </row>
    <row r="33" spans="1:13">
      <c r="A33" s="2" t="s">
        <v>122</v>
      </c>
      <c r="B33" s="2">
        <v>0</v>
      </c>
      <c r="C33" s="1">
        <v>6</v>
      </c>
      <c r="D33" s="1">
        <v>8</v>
      </c>
      <c r="E33" s="1">
        <v>10</v>
      </c>
      <c r="F33" s="1">
        <v>12</v>
      </c>
      <c r="G33" s="1">
        <v>14</v>
      </c>
      <c r="H33" s="1">
        <v>14</v>
      </c>
      <c r="I33" s="1">
        <v>12</v>
      </c>
      <c r="J33" s="1">
        <v>10</v>
      </c>
      <c r="K33" s="1">
        <v>8</v>
      </c>
      <c r="L33" s="1">
        <v>6</v>
      </c>
      <c r="M33" s="2">
        <f t="shared" ref="M33:M39" si="2">+SUM(B33:L33)</f>
        <v>100</v>
      </c>
    </row>
    <row r="34" spans="1:13">
      <c r="A34" s="2" t="s">
        <v>124</v>
      </c>
      <c r="B34" s="2">
        <v>0</v>
      </c>
      <c r="C34" s="1">
        <v>12</v>
      </c>
      <c r="D34" s="1">
        <v>16</v>
      </c>
      <c r="E34" s="1">
        <v>20</v>
      </c>
      <c r="F34" s="1">
        <v>24</v>
      </c>
      <c r="G34" s="1">
        <v>28</v>
      </c>
      <c r="H34" s="1">
        <v>28</v>
      </c>
      <c r="I34" s="1">
        <v>24</v>
      </c>
      <c r="J34" s="1">
        <v>20</v>
      </c>
      <c r="K34" s="1">
        <v>16</v>
      </c>
      <c r="L34" s="1">
        <v>12</v>
      </c>
      <c r="M34" s="2">
        <f t="shared" si="2"/>
        <v>200</v>
      </c>
    </row>
    <row r="35" spans="1:13">
      <c r="A35" s="2" t="s">
        <v>125</v>
      </c>
      <c r="B35" s="41">
        <f>+SUM(B32:B34)</f>
        <v>0</v>
      </c>
      <c r="C35" s="1">
        <f t="shared" ref="C35:L35" si="3">+SUM(C32:C34)</f>
        <v>20</v>
      </c>
      <c r="D35" s="1">
        <f t="shared" si="3"/>
        <v>28</v>
      </c>
      <c r="E35" s="1">
        <f t="shared" si="3"/>
        <v>36</v>
      </c>
      <c r="F35" s="1">
        <f t="shared" si="3"/>
        <v>44</v>
      </c>
      <c r="G35" s="1">
        <f t="shared" si="3"/>
        <v>52</v>
      </c>
      <c r="H35" s="1">
        <f t="shared" si="3"/>
        <v>50</v>
      </c>
      <c r="I35" s="1">
        <f t="shared" si="3"/>
        <v>42</v>
      </c>
      <c r="J35" s="1">
        <f t="shared" si="3"/>
        <v>34</v>
      </c>
      <c r="K35" s="1">
        <f t="shared" si="3"/>
        <v>26</v>
      </c>
      <c r="L35" s="1">
        <f t="shared" si="3"/>
        <v>18</v>
      </c>
      <c r="M35" s="41">
        <f t="shared" si="2"/>
        <v>350</v>
      </c>
    </row>
    <row r="36" spans="1:13">
      <c r="A36" s="2" t="s">
        <v>126</v>
      </c>
      <c r="B36" s="2">
        <v>0</v>
      </c>
      <c r="C36" s="1">
        <f t="shared" ref="C36:L36" si="4">+C32</f>
        <v>2</v>
      </c>
      <c r="D36" s="1">
        <f t="shared" si="4"/>
        <v>4</v>
      </c>
      <c r="E36" s="1">
        <f t="shared" si="4"/>
        <v>6</v>
      </c>
      <c r="F36" s="1">
        <f t="shared" si="4"/>
        <v>8</v>
      </c>
      <c r="G36" s="1">
        <f t="shared" si="4"/>
        <v>10</v>
      </c>
      <c r="H36" s="1">
        <f t="shared" si="4"/>
        <v>8</v>
      </c>
      <c r="I36" s="1">
        <f t="shared" si="4"/>
        <v>6</v>
      </c>
      <c r="J36" s="1">
        <f t="shared" si="4"/>
        <v>4</v>
      </c>
      <c r="K36" s="1">
        <f t="shared" si="4"/>
        <v>2</v>
      </c>
      <c r="L36" s="1">
        <f t="shared" si="4"/>
        <v>0</v>
      </c>
      <c r="M36" s="2">
        <f t="shared" si="2"/>
        <v>50</v>
      </c>
    </row>
    <row r="37" spans="1:13">
      <c r="A37" s="2" t="s">
        <v>127</v>
      </c>
      <c r="B37" s="2">
        <v>0</v>
      </c>
      <c r="C37" s="1">
        <f t="shared" ref="C37:L37" si="5">+C33</f>
        <v>6</v>
      </c>
      <c r="D37" s="1">
        <f t="shared" si="5"/>
        <v>8</v>
      </c>
      <c r="E37" s="1">
        <f t="shared" si="5"/>
        <v>10</v>
      </c>
      <c r="F37" s="1">
        <f t="shared" si="5"/>
        <v>12</v>
      </c>
      <c r="G37" s="1">
        <f t="shared" si="5"/>
        <v>14</v>
      </c>
      <c r="H37" s="1">
        <f t="shared" si="5"/>
        <v>14</v>
      </c>
      <c r="I37" s="1">
        <f t="shared" si="5"/>
        <v>12</v>
      </c>
      <c r="J37" s="1">
        <f t="shared" si="5"/>
        <v>10</v>
      </c>
      <c r="K37" s="1">
        <f t="shared" si="5"/>
        <v>8</v>
      </c>
      <c r="L37" s="1">
        <f t="shared" si="5"/>
        <v>6</v>
      </c>
      <c r="M37" s="2">
        <f t="shared" si="2"/>
        <v>100</v>
      </c>
    </row>
    <row r="38" spans="1:13">
      <c r="A38" s="10" t="s">
        <v>128</v>
      </c>
      <c r="B38" s="2">
        <v>0</v>
      </c>
      <c r="C38" s="1">
        <f t="shared" ref="C38:L38" si="6">+C34</f>
        <v>12</v>
      </c>
      <c r="D38" s="1">
        <f t="shared" si="6"/>
        <v>16</v>
      </c>
      <c r="E38" s="1">
        <f t="shared" si="6"/>
        <v>20</v>
      </c>
      <c r="F38" s="1">
        <f t="shared" si="6"/>
        <v>24</v>
      </c>
      <c r="G38" s="1">
        <f t="shared" si="6"/>
        <v>28</v>
      </c>
      <c r="H38" s="1">
        <f t="shared" si="6"/>
        <v>28</v>
      </c>
      <c r="I38" s="1">
        <f t="shared" si="6"/>
        <v>24</v>
      </c>
      <c r="J38" s="1">
        <f t="shared" si="6"/>
        <v>20</v>
      </c>
      <c r="K38" s="1">
        <f t="shared" si="6"/>
        <v>16</v>
      </c>
      <c r="L38" s="1">
        <f t="shared" si="6"/>
        <v>12</v>
      </c>
      <c r="M38" s="2">
        <f t="shared" si="2"/>
        <v>200</v>
      </c>
    </row>
    <row r="39" spans="1:13">
      <c r="A39" s="10" t="s">
        <v>129</v>
      </c>
      <c r="B39" s="41">
        <f>+SUM(A36:A38)</f>
        <v>0</v>
      </c>
      <c r="C39" s="1">
        <f>+SUM(C36:C38)</f>
        <v>20</v>
      </c>
      <c r="D39" s="1">
        <f t="shared" ref="D39:L39" si="7">+SUM(D36:D38)</f>
        <v>28</v>
      </c>
      <c r="E39" s="1">
        <f t="shared" si="7"/>
        <v>36</v>
      </c>
      <c r="F39" s="1">
        <f t="shared" si="7"/>
        <v>44</v>
      </c>
      <c r="G39" s="1">
        <f t="shared" si="7"/>
        <v>52</v>
      </c>
      <c r="H39" s="1">
        <f t="shared" si="7"/>
        <v>50</v>
      </c>
      <c r="I39" s="1">
        <f t="shared" si="7"/>
        <v>42</v>
      </c>
      <c r="J39" s="1">
        <f t="shared" si="7"/>
        <v>34</v>
      </c>
      <c r="K39" s="1">
        <f t="shared" si="7"/>
        <v>26</v>
      </c>
      <c r="L39" s="1">
        <f t="shared" si="7"/>
        <v>18</v>
      </c>
      <c r="M39" s="2">
        <f t="shared" si="2"/>
        <v>350</v>
      </c>
    </row>
    <row r="40" spans="1:13">
      <c r="A40" s="17"/>
      <c r="B40" s="53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43"/>
    </row>
    <row r="41" spans="1:13">
      <c r="A41" s="162" t="s">
        <v>137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43"/>
    </row>
    <row r="42" spans="1:13">
      <c r="A42" s="52" t="s">
        <v>64</v>
      </c>
      <c r="B42" s="52">
        <v>0</v>
      </c>
      <c r="C42" s="52">
        <v>1</v>
      </c>
      <c r="D42" s="52">
        <v>2</v>
      </c>
      <c r="E42" s="52">
        <v>3</v>
      </c>
      <c r="F42" s="52">
        <v>4</v>
      </c>
      <c r="G42" s="52">
        <v>5</v>
      </c>
      <c r="H42" s="52">
        <v>6</v>
      </c>
      <c r="I42" s="52">
        <v>7</v>
      </c>
      <c r="J42" s="52">
        <v>8</v>
      </c>
      <c r="K42" s="52">
        <v>9</v>
      </c>
      <c r="L42" s="52">
        <v>10</v>
      </c>
      <c r="M42" s="43"/>
    </row>
    <row r="43" spans="1:13">
      <c r="A43" s="10" t="s">
        <v>134</v>
      </c>
      <c r="B43" s="54">
        <f>+B36*$B$26</f>
        <v>0</v>
      </c>
      <c r="C43" s="54">
        <f t="shared" ref="C43:L43" si="8">+C36*$B$26</f>
        <v>322560000</v>
      </c>
      <c r="D43" s="54">
        <f t="shared" si="8"/>
        <v>645120000</v>
      </c>
      <c r="E43" s="54">
        <f t="shared" si="8"/>
        <v>967680000</v>
      </c>
      <c r="F43" s="54">
        <f t="shared" si="8"/>
        <v>1290240000</v>
      </c>
      <c r="G43" s="54">
        <f t="shared" si="8"/>
        <v>1612800000</v>
      </c>
      <c r="H43" s="54">
        <f t="shared" si="8"/>
        <v>1290240000</v>
      </c>
      <c r="I43" s="54">
        <f t="shared" si="8"/>
        <v>967680000</v>
      </c>
      <c r="J43" s="54">
        <f t="shared" si="8"/>
        <v>645120000</v>
      </c>
      <c r="K43" s="54">
        <f t="shared" si="8"/>
        <v>322560000</v>
      </c>
      <c r="L43" s="54">
        <f t="shared" si="8"/>
        <v>0</v>
      </c>
      <c r="M43" s="43"/>
    </row>
    <row r="44" spans="1:13">
      <c r="A44" s="10" t="s">
        <v>135</v>
      </c>
      <c r="B44" s="54">
        <f>+B37*$B$27</f>
        <v>0</v>
      </c>
      <c r="C44" s="54">
        <f t="shared" ref="C44:L44" si="9">+C37*$B$27</f>
        <v>483840000</v>
      </c>
      <c r="D44" s="54">
        <f t="shared" si="9"/>
        <v>645120000</v>
      </c>
      <c r="E44" s="54">
        <f t="shared" si="9"/>
        <v>806400000</v>
      </c>
      <c r="F44" s="54">
        <f t="shared" si="9"/>
        <v>967680000</v>
      </c>
      <c r="G44" s="54">
        <f t="shared" si="9"/>
        <v>1128960000</v>
      </c>
      <c r="H44" s="54">
        <f t="shared" si="9"/>
        <v>1128960000</v>
      </c>
      <c r="I44" s="54">
        <f t="shared" si="9"/>
        <v>967680000</v>
      </c>
      <c r="J44" s="54">
        <f t="shared" si="9"/>
        <v>806400000</v>
      </c>
      <c r="K44" s="54">
        <f t="shared" si="9"/>
        <v>645120000</v>
      </c>
      <c r="L44" s="54">
        <f t="shared" si="9"/>
        <v>483840000</v>
      </c>
      <c r="M44" s="43"/>
    </row>
    <row r="45" spans="1:13">
      <c r="A45" s="10" t="s">
        <v>136</v>
      </c>
      <c r="B45" s="54">
        <f>+B38*$B$28</f>
        <v>0</v>
      </c>
      <c r="C45" s="54">
        <f t="shared" ref="C45:L45" si="10">+C38*$B$28</f>
        <v>645120000</v>
      </c>
      <c r="D45" s="54">
        <f t="shared" si="10"/>
        <v>860160000</v>
      </c>
      <c r="E45" s="54">
        <f t="shared" si="10"/>
        <v>1075200000</v>
      </c>
      <c r="F45" s="54">
        <f t="shared" si="10"/>
        <v>1290240000</v>
      </c>
      <c r="G45" s="54">
        <f t="shared" si="10"/>
        <v>1505280000</v>
      </c>
      <c r="H45" s="54">
        <f t="shared" si="10"/>
        <v>1505280000</v>
      </c>
      <c r="I45" s="54">
        <f t="shared" si="10"/>
        <v>1290240000</v>
      </c>
      <c r="J45" s="54">
        <f t="shared" si="10"/>
        <v>1075200000</v>
      </c>
      <c r="K45" s="54">
        <f t="shared" si="10"/>
        <v>860160000</v>
      </c>
      <c r="L45" s="54">
        <f t="shared" si="10"/>
        <v>645120000</v>
      </c>
      <c r="M45" s="43"/>
    </row>
    <row r="46" spans="1:13">
      <c r="A46" s="17"/>
      <c r="B46" s="53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43"/>
    </row>
    <row r="47" spans="1:13" ht="15.75">
      <c r="A47" s="161" t="s">
        <v>65</v>
      </c>
      <c r="B47" s="161"/>
      <c r="D47" s="171" t="s">
        <v>12</v>
      </c>
      <c r="E47" s="172"/>
      <c r="G47" s="162" t="s">
        <v>13</v>
      </c>
      <c r="H47" s="162"/>
      <c r="I47" s="162"/>
    </row>
    <row r="48" spans="1:13">
      <c r="A48" s="18" t="s">
        <v>66</v>
      </c>
      <c r="B48" s="5">
        <v>20000</v>
      </c>
      <c r="D48" s="18" t="s">
        <v>67</v>
      </c>
      <c r="E48" s="5">
        <f>+B57*3%</f>
        <v>806400000</v>
      </c>
      <c r="G48" s="175" t="s">
        <v>157</v>
      </c>
      <c r="H48" s="175"/>
      <c r="I48" s="5">
        <f>3000000*12</f>
        <v>36000000</v>
      </c>
    </row>
    <row r="49" spans="1:11">
      <c r="A49" s="18" t="s">
        <v>68</v>
      </c>
      <c r="B49" s="5">
        <f>B48*10000</f>
        <v>200000000</v>
      </c>
      <c r="D49" s="18" t="s">
        <v>69</v>
      </c>
      <c r="E49" s="5">
        <v>3000000</v>
      </c>
      <c r="G49" s="175" t="s">
        <v>158</v>
      </c>
      <c r="H49" s="175"/>
      <c r="I49" s="5">
        <f>8000000*12</f>
        <v>96000000</v>
      </c>
    </row>
    <row r="50" spans="1:11">
      <c r="A50" s="18" t="s">
        <v>142</v>
      </c>
      <c r="B50" s="2">
        <f>+E54</f>
        <v>120</v>
      </c>
      <c r="D50" s="18" t="s">
        <v>70</v>
      </c>
      <c r="E50" s="5">
        <v>2500000</v>
      </c>
      <c r="G50" s="175" t="s">
        <v>159</v>
      </c>
      <c r="H50" s="175"/>
      <c r="I50" s="5">
        <f>800000*12</f>
        <v>9600000</v>
      </c>
    </row>
    <row r="51" spans="1:11">
      <c r="A51" s="18" t="s">
        <v>143</v>
      </c>
      <c r="B51" s="2">
        <f>+E57</f>
        <v>24</v>
      </c>
      <c r="D51" s="18" t="s">
        <v>72</v>
      </c>
      <c r="E51" s="8">
        <f>SUM(E48:E50)</f>
        <v>811900000</v>
      </c>
      <c r="G51" s="175" t="s">
        <v>161</v>
      </c>
      <c r="H51" s="175"/>
      <c r="I51" s="5">
        <f>2000000*12</f>
        <v>24000000</v>
      </c>
    </row>
    <row r="52" spans="1:11">
      <c r="A52" s="18" t="s">
        <v>164</v>
      </c>
      <c r="B52" s="5">
        <v>12000</v>
      </c>
      <c r="G52" s="175" t="s">
        <v>160</v>
      </c>
      <c r="H52" s="175"/>
      <c r="I52" s="5">
        <f>5000000*12</f>
        <v>60000000</v>
      </c>
    </row>
    <row r="53" spans="1:11">
      <c r="A53" s="18" t="s">
        <v>165</v>
      </c>
      <c r="B53" s="5">
        <f>+B52*10000</f>
        <v>120000000</v>
      </c>
      <c r="D53" s="18" t="s">
        <v>71</v>
      </c>
      <c r="E53" s="2">
        <v>120</v>
      </c>
      <c r="G53" s="177" t="s">
        <v>162</v>
      </c>
      <c r="H53" s="178"/>
      <c r="I53" s="8">
        <f>+SUM(I48:I52)</f>
        <v>225600000</v>
      </c>
    </row>
    <row r="54" spans="1:11">
      <c r="A54" s="18" t="s">
        <v>167</v>
      </c>
      <c r="B54" s="5">
        <f>+B49*B50</f>
        <v>24000000000</v>
      </c>
      <c r="D54" s="18" t="s">
        <v>260</v>
      </c>
      <c r="E54" s="2">
        <v>120</v>
      </c>
      <c r="G54" s="176" t="s">
        <v>155</v>
      </c>
      <c r="H54" s="176"/>
      <c r="I54" s="38">
        <v>0.05</v>
      </c>
    </row>
    <row r="55" spans="1:11">
      <c r="A55" s="18" t="s">
        <v>166</v>
      </c>
      <c r="B55" s="5">
        <f>+B53*B51</f>
        <v>2880000000</v>
      </c>
      <c r="D55" s="18" t="s">
        <v>169</v>
      </c>
      <c r="E55" s="40">
        <f>+E54/E53</f>
        <v>1</v>
      </c>
      <c r="G55" s="51"/>
      <c r="H55" s="51"/>
      <c r="I55" s="60"/>
    </row>
    <row r="56" spans="1:11">
      <c r="A56" s="18" t="s">
        <v>144</v>
      </c>
      <c r="B56" s="2">
        <f>+B50+B51</f>
        <v>144</v>
      </c>
      <c r="D56" s="18" t="s">
        <v>168</v>
      </c>
      <c r="E56" s="2">
        <v>24</v>
      </c>
      <c r="G56" s="51"/>
      <c r="H56" s="51"/>
      <c r="I56" s="60"/>
    </row>
    <row r="57" spans="1:11">
      <c r="A57" s="18" t="s">
        <v>71</v>
      </c>
      <c r="B57" s="5">
        <f>+B54+B55</f>
        <v>26880000000</v>
      </c>
      <c r="D57" s="18" t="s">
        <v>170</v>
      </c>
      <c r="E57" s="2">
        <f>+E56*E55</f>
        <v>24</v>
      </c>
      <c r="G57" s="51"/>
      <c r="H57" s="51"/>
      <c r="I57" s="60"/>
    </row>
    <row r="58" spans="1:11">
      <c r="A58" s="18" t="s">
        <v>145</v>
      </c>
      <c r="B58" s="5">
        <f>+B57/B50</f>
        <v>224000000</v>
      </c>
      <c r="G58" s="51"/>
      <c r="H58" s="51"/>
      <c r="I58" s="60"/>
    </row>
    <row r="60" spans="1:11" ht="34.5" customHeight="1">
      <c r="A60" s="169" t="s">
        <v>88</v>
      </c>
      <c r="B60" s="170"/>
    </row>
    <row r="61" spans="1:11" ht="29.25" customHeight="1">
      <c r="A61" s="15" t="s">
        <v>149</v>
      </c>
      <c r="B61" s="5">
        <v>50000000</v>
      </c>
      <c r="E61" s="163" t="s">
        <v>95</v>
      </c>
      <c r="F61" s="164"/>
      <c r="G61" s="37" t="s">
        <v>96</v>
      </c>
      <c r="H61" s="37" t="s">
        <v>97</v>
      </c>
      <c r="I61" s="37" t="s">
        <v>107</v>
      </c>
      <c r="J61" s="37" t="s">
        <v>108</v>
      </c>
      <c r="K61" s="37" t="s">
        <v>109</v>
      </c>
    </row>
    <row r="62" spans="1:11">
      <c r="A62" s="15" t="s">
        <v>89</v>
      </c>
      <c r="B62" s="5">
        <f>4000000*12</f>
        <v>48000000</v>
      </c>
      <c r="E62" s="1" t="s">
        <v>100</v>
      </c>
      <c r="F62" s="38">
        <v>1</v>
      </c>
      <c r="G62" s="39">
        <v>7.0000000000000007E-2</v>
      </c>
      <c r="H62" s="39">
        <f>+G62*130%</f>
        <v>9.1000000000000011E-2</v>
      </c>
      <c r="I62" s="5">
        <f>+$H$14*H62</f>
        <v>95758256.888378292</v>
      </c>
      <c r="J62" s="5">
        <f t="shared" ref="J62:J67" si="11">+$H$15*H62</f>
        <v>68945944.959632367</v>
      </c>
      <c r="K62" s="5">
        <f t="shared" ref="K62:K68" si="12">+$H$16*H62</f>
        <v>34472972.479816183</v>
      </c>
    </row>
    <row r="63" spans="1:11">
      <c r="A63" s="15" t="s">
        <v>90</v>
      </c>
      <c r="B63" s="5">
        <f>45000000*12</f>
        <v>540000000</v>
      </c>
      <c r="E63" s="42" t="s">
        <v>98</v>
      </c>
      <c r="F63" s="38">
        <v>0.4</v>
      </c>
      <c r="G63" s="2"/>
      <c r="H63" s="40">
        <f>+H62*F63</f>
        <v>3.6400000000000009E-2</v>
      </c>
      <c r="I63" s="5">
        <f>+$H$14*H63</f>
        <v>38303302.75535132</v>
      </c>
      <c r="J63" s="5">
        <f t="shared" si="11"/>
        <v>27578377.983852949</v>
      </c>
      <c r="K63" s="5">
        <f t="shared" si="12"/>
        <v>13789188.991926474</v>
      </c>
    </row>
    <row r="64" spans="1:11">
      <c r="A64" s="15" t="s">
        <v>91</v>
      </c>
      <c r="B64" s="5">
        <f>12*20000000</f>
        <v>240000000</v>
      </c>
      <c r="E64" s="1" t="s">
        <v>99</v>
      </c>
      <c r="F64" s="38">
        <v>0.3</v>
      </c>
      <c r="G64" s="2"/>
      <c r="H64" s="39">
        <f>+F64*H63</f>
        <v>1.0920000000000003E-2</v>
      </c>
      <c r="I64" s="5">
        <f>+$H$14*H64</f>
        <v>11490990.826605396</v>
      </c>
      <c r="J64" s="5">
        <f t="shared" si="11"/>
        <v>8273513.3951558843</v>
      </c>
      <c r="K64" s="5">
        <f t="shared" si="12"/>
        <v>4136756.6975779422</v>
      </c>
    </row>
    <row r="65" spans="1:11">
      <c r="A65" s="15" t="s">
        <v>92</v>
      </c>
      <c r="B65" s="5">
        <v>240000000</v>
      </c>
      <c r="E65" s="1" t="s">
        <v>101</v>
      </c>
      <c r="F65" s="38">
        <v>0.2</v>
      </c>
      <c r="G65" s="2"/>
      <c r="H65" s="39">
        <f t="shared" ref="H65:H69" si="13">+F65*H64</f>
        <v>2.1840000000000006E-3</v>
      </c>
      <c r="I65" s="5">
        <f>+$H$14*H65</f>
        <v>2298198.1653210791</v>
      </c>
      <c r="J65" s="5">
        <f t="shared" si="11"/>
        <v>1654702.679031177</v>
      </c>
      <c r="K65" s="5">
        <f t="shared" si="12"/>
        <v>827351.33951558848</v>
      </c>
    </row>
    <row r="66" spans="1:11">
      <c r="A66" s="15" t="s">
        <v>72</v>
      </c>
      <c r="B66" s="5">
        <f>SUM(B61:B65)</f>
        <v>1118000000</v>
      </c>
      <c r="E66" s="1" t="s">
        <v>102</v>
      </c>
      <c r="F66" s="38">
        <v>0.1</v>
      </c>
      <c r="G66" s="2"/>
      <c r="H66" s="39">
        <f t="shared" si="13"/>
        <v>2.1840000000000008E-4</v>
      </c>
      <c r="I66" s="5">
        <f>+$H$14*H66</f>
        <v>229819.81653210794</v>
      </c>
      <c r="J66" s="5">
        <f t="shared" si="11"/>
        <v>165470.26790311772</v>
      </c>
      <c r="K66" s="5">
        <f t="shared" si="12"/>
        <v>82735.133951558862</v>
      </c>
    </row>
    <row r="67" spans="1:11">
      <c r="A67" s="15" t="s">
        <v>93</v>
      </c>
      <c r="B67" s="32">
        <v>0.1</v>
      </c>
      <c r="E67" s="1" t="s">
        <v>103</v>
      </c>
      <c r="F67" s="39">
        <v>7.4999999999999997E-2</v>
      </c>
      <c r="G67" s="2"/>
      <c r="H67" s="39">
        <f t="shared" si="13"/>
        <v>1.6380000000000006E-5</v>
      </c>
      <c r="I67" s="5">
        <v>0</v>
      </c>
      <c r="J67" s="5">
        <f t="shared" si="11"/>
        <v>12410.270092733828</v>
      </c>
      <c r="K67" s="5">
        <f t="shared" si="12"/>
        <v>6205.1350463669141</v>
      </c>
    </row>
    <row r="68" spans="1:11">
      <c r="E68" s="1" t="s">
        <v>104</v>
      </c>
      <c r="F68" s="38">
        <v>0.05</v>
      </c>
      <c r="G68" s="2"/>
      <c r="H68" s="39">
        <f t="shared" si="13"/>
        <v>8.1900000000000033E-7</v>
      </c>
      <c r="I68" s="5">
        <v>0</v>
      </c>
      <c r="J68" s="5">
        <v>0</v>
      </c>
      <c r="K68" s="5">
        <f t="shared" si="12"/>
        <v>310.25675231834572</v>
      </c>
    </row>
    <row r="69" spans="1:11" ht="15.75">
      <c r="A69" s="161" t="s">
        <v>55</v>
      </c>
      <c r="B69" s="161"/>
      <c r="C69" s="161"/>
      <c r="E69" s="41" t="s">
        <v>94</v>
      </c>
      <c r="F69" s="38">
        <v>0.04</v>
      </c>
      <c r="G69" s="2"/>
      <c r="H69" s="39">
        <f t="shared" si="13"/>
        <v>3.2760000000000017E-8</v>
      </c>
      <c r="I69" s="5">
        <v>0</v>
      </c>
      <c r="J69" s="5">
        <v>0</v>
      </c>
      <c r="K69" s="5">
        <v>0</v>
      </c>
    </row>
    <row r="70" spans="1:11">
      <c r="A70" s="167" t="s">
        <v>57</v>
      </c>
      <c r="B70" s="168"/>
      <c r="C70" s="5">
        <v>300000000</v>
      </c>
      <c r="H70" s="49" t="s">
        <v>116</v>
      </c>
      <c r="I70" s="8">
        <f>+SUM(I62:I69)</f>
        <v>148080568.45218819</v>
      </c>
      <c r="J70" s="8">
        <f t="shared" ref="J70:K70" si="14">+SUM(J62:J69)</f>
        <v>106630419.55566823</v>
      </c>
      <c r="K70" s="8">
        <f t="shared" si="14"/>
        <v>53315520.034586437</v>
      </c>
    </row>
    <row r="71" spans="1:11">
      <c r="A71" s="167" t="s">
        <v>59</v>
      </c>
      <c r="B71" s="168"/>
      <c r="C71" s="5">
        <v>120000000</v>
      </c>
      <c r="H71" s="166" t="s">
        <v>117</v>
      </c>
      <c r="I71" s="166"/>
      <c r="J71" s="166"/>
      <c r="K71" s="8">
        <f>+SUM(I70:K70)</f>
        <v>308026508.04244286</v>
      </c>
    </row>
    <row r="72" spans="1:11">
      <c r="A72" s="167" t="s">
        <v>61</v>
      </c>
      <c r="B72" s="168"/>
      <c r="C72" s="5">
        <v>80000000</v>
      </c>
      <c r="H72" s="166" t="s">
        <v>118</v>
      </c>
      <c r="I72" s="166"/>
      <c r="J72" s="166"/>
      <c r="K72" s="8">
        <f>+K71/0.84</f>
        <v>366698223.86005104</v>
      </c>
    </row>
    <row r="73" spans="1:11">
      <c r="A73" s="167" t="s">
        <v>62</v>
      </c>
      <c r="B73" s="168"/>
      <c r="C73" s="5">
        <f>C72+C71+C70</f>
        <v>500000000</v>
      </c>
    </row>
    <row r="75" spans="1:11">
      <c r="A75" s="162" t="s">
        <v>19</v>
      </c>
      <c r="B75" s="162"/>
    </row>
    <row r="76" spans="1:11" ht="15.75">
      <c r="A76" s="162" t="s">
        <v>150</v>
      </c>
      <c r="B76" s="162"/>
      <c r="D76" s="161" t="s">
        <v>185</v>
      </c>
      <c r="E76" s="161"/>
      <c r="F76" s="161"/>
      <c r="G76" s="161"/>
    </row>
    <row r="77" spans="1:11">
      <c r="A77" s="2" t="s">
        <v>151</v>
      </c>
      <c r="B77" s="2">
        <v>5</v>
      </c>
      <c r="D77" s="78"/>
      <c r="E77" s="79" t="s">
        <v>186</v>
      </c>
      <c r="F77" s="79" t="s">
        <v>187</v>
      </c>
      <c r="G77" s="79" t="s">
        <v>188</v>
      </c>
    </row>
    <row r="78" spans="1:11">
      <c r="A78" s="2" t="s">
        <v>152</v>
      </c>
      <c r="B78" s="5">
        <v>2000000</v>
      </c>
      <c r="D78" s="80" t="s">
        <v>189</v>
      </c>
      <c r="E78" s="79">
        <v>100</v>
      </c>
      <c r="F78" s="79">
        <f>+E78*30</f>
        <v>3000</v>
      </c>
      <c r="G78" s="79">
        <f>+F78*12</f>
        <v>36000</v>
      </c>
    </row>
    <row r="79" spans="1:11">
      <c r="A79" s="2" t="s">
        <v>153</v>
      </c>
      <c r="B79" s="5">
        <f>+B77*B78</f>
        <v>10000000</v>
      </c>
      <c r="D79" s="80" t="s">
        <v>190</v>
      </c>
      <c r="E79" s="79">
        <v>45</v>
      </c>
      <c r="F79" s="79">
        <f>+E79*30</f>
        <v>1350</v>
      </c>
      <c r="G79" s="79">
        <f>+F79*12</f>
        <v>16200</v>
      </c>
    </row>
    <row r="80" spans="1:11">
      <c r="A80" s="2" t="s">
        <v>154</v>
      </c>
      <c r="B80" s="5">
        <f>+B79*12</f>
        <v>120000000</v>
      </c>
      <c r="D80" s="80" t="s">
        <v>191</v>
      </c>
      <c r="E80" s="79">
        <v>45</v>
      </c>
      <c r="F80" s="79">
        <f>+E80*30</f>
        <v>1350</v>
      </c>
      <c r="G80" s="79">
        <f>+F80*12</f>
        <v>16200</v>
      </c>
    </row>
    <row r="81" spans="1:7">
      <c r="A81" s="10" t="s">
        <v>155</v>
      </c>
      <c r="B81" s="38">
        <v>0.05</v>
      </c>
      <c r="D81" s="80" t="s">
        <v>192</v>
      </c>
      <c r="E81" s="79">
        <v>10</v>
      </c>
      <c r="F81" s="79">
        <f>+E81*30</f>
        <v>300</v>
      </c>
      <c r="G81" s="79">
        <f>+F81*12</f>
        <v>3600</v>
      </c>
    </row>
    <row r="82" spans="1:7">
      <c r="A82" s="10" t="s">
        <v>156</v>
      </c>
      <c r="B82" s="56">
        <v>1.4999999999999999E-2</v>
      </c>
      <c r="D82" s="80" t="s">
        <v>193</v>
      </c>
      <c r="E82" s="79">
        <f>+(E79*2)+(E80*3)+(E81*4)</f>
        <v>265</v>
      </c>
      <c r="F82" s="79">
        <f>+E82*30</f>
        <v>7950</v>
      </c>
      <c r="G82" s="79">
        <f>+F82*12</f>
        <v>95400</v>
      </c>
    </row>
    <row r="84" spans="1:7" ht="15.75">
      <c r="A84" s="161" t="s">
        <v>173</v>
      </c>
      <c r="B84" s="161"/>
      <c r="C84" s="72"/>
      <c r="D84" s="72"/>
    </row>
    <row r="85" spans="1:7">
      <c r="A85" s="18" t="s">
        <v>174</v>
      </c>
      <c r="B85" s="8">
        <v>1400000</v>
      </c>
      <c r="C85" s="72"/>
      <c r="D85" s="72"/>
    </row>
    <row r="86" spans="1:7">
      <c r="A86" s="73" t="s">
        <v>175</v>
      </c>
      <c r="B86" s="74">
        <v>1200000</v>
      </c>
      <c r="C86" s="72"/>
      <c r="D86" s="72"/>
    </row>
    <row r="87" spans="1:7">
      <c r="A87" s="18" t="s">
        <v>176</v>
      </c>
      <c r="B87" s="2">
        <v>30</v>
      </c>
      <c r="C87" s="75">
        <f>+B87*E79</f>
        <v>1350</v>
      </c>
      <c r="D87" s="76">
        <f>+B87*$B$85</f>
        <v>42000000</v>
      </c>
    </row>
    <row r="88" spans="1:7">
      <c r="A88" s="18" t="s">
        <v>177</v>
      </c>
      <c r="B88" s="75">
        <v>45</v>
      </c>
      <c r="C88" s="75">
        <f t="shared" ref="C88:C89" si="15">+B88*E80</f>
        <v>2025</v>
      </c>
      <c r="D88" s="76">
        <f t="shared" ref="D88:D89" si="16">+B88*$B$85</f>
        <v>63000000</v>
      </c>
    </row>
    <row r="89" spans="1:7">
      <c r="A89" s="18" t="s">
        <v>178</v>
      </c>
      <c r="B89" s="75">
        <v>60</v>
      </c>
      <c r="C89" s="75">
        <f t="shared" si="15"/>
        <v>600</v>
      </c>
      <c r="D89" s="76">
        <f t="shared" si="16"/>
        <v>84000000</v>
      </c>
    </row>
    <row r="90" spans="1:7">
      <c r="A90" s="162" t="s">
        <v>179</v>
      </c>
      <c r="B90" s="162"/>
      <c r="C90" s="75">
        <f>+SUM(C87:C89)</f>
        <v>3975</v>
      </c>
      <c r="D90" s="76">
        <f>+SUM(D87:D89)</f>
        <v>189000000</v>
      </c>
    </row>
    <row r="91" spans="1:7">
      <c r="A91" s="18" t="s">
        <v>180</v>
      </c>
      <c r="B91" s="10">
        <v>6000</v>
      </c>
      <c r="C91" s="72"/>
      <c r="D91" s="72"/>
    </row>
    <row r="92" spans="1:7">
      <c r="A92" s="18" t="s">
        <v>181</v>
      </c>
      <c r="B92" s="77">
        <f>+(B91+C90)*B85</f>
        <v>13965000000</v>
      </c>
      <c r="C92" s="72"/>
      <c r="D92" s="72"/>
    </row>
    <row r="93" spans="1:7">
      <c r="A93" s="18" t="s">
        <v>182</v>
      </c>
      <c r="B93" s="77">
        <f>+C90*B86</f>
        <v>4770000000</v>
      </c>
      <c r="C93" s="72"/>
      <c r="D93" s="72"/>
    </row>
    <row r="94" spans="1:7">
      <c r="A94" s="18" t="s">
        <v>183</v>
      </c>
      <c r="B94" s="77">
        <f>+B92+B93</f>
        <v>18735000000</v>
      </c>
      <c r="C94" s="72"/>
      <c r="D94" s="72"/>
    </row>
    <row r="95" spans="1:7">
      <c r="A95" s="18" t="s">
        <v>184</v>
      </c>
      <c r="B95" s="77">
        <f>+B91*B85</f>
        <v>8400000000</v>
      </c>
      <c r="C95" s="72"/>
      <c r="D95" s="72"/>
    </row>
    <row r="96" spans="1:7" ht="15.75" thickBot="1"/>
    <row r="97" spans="1:8" ht="15.75" thickBot="1">
      <c r="A97" s="81" t="s">
        <v>237</v>
      </c>
      <c r="B97" s="85">
        <v>2900000</v>
      </c>
    </row>
    <row r="99" spans="1:8">
      <c r="A99" s="162" t="s">
        <v>209</v>
      </c>
      <c r="B99" s="162"/>
      <c r="C99" s="162"/>
      <c r="D99" s="162"/>
    </row>
    <row r="100" spans="1:8" ht="45">
      <c r="A100" s="2" t="s">
        <v>210</v>
      </c>
      <c r="B100" s="86" t="s">
        <v>211</v>
      </c>
      <c r="C100" s="86" t="s">
        <v>212</v>
      </c>
      <c r="D100" s="86" t="s">
        <v>213</v>
      </c>
    </row>
    <row r="101" spans="1:8">
      <c r="A101" s="2" t="s">
        <v>214</v>
      </c>
      <c r="B101" s="63">
        <v>20</v>
      </c>
      <c r="C101" s="87">
        <f>+K89</f>
        <v>0</v>
      </c>
      <c r="D101" s="87">
        <f>C101/B101</f>
        <v>0</v>
      </c>
    </row>
    <row r="103" spans="1:8">
      <c r="A103" s="163" t="s">
        <v>95</v>
      </c>
      <c r="B103" s="164"/>
      <c r="C103" s="37" t="s">
        <v>96</v>
      </c>
      <c r="D103" s="37" t="s">
        <v>97</v>
      </c>
      <c r="E103" s="37" t="s">
        <v>215</v>
      </c>
      <c r="F103" s="37" t="s">
        <v>216</v>
      </c>
      <c r="G103" s="37" t="s">
        <v>217</v>
      </c>
      <c r="H103" s="37" t="s">
        <v>218</v>
      </c>
    </row>
    <row r="104" spans="1:8">
      <c r="A104" s="63" t="s">
        <v>100</v>
      </c>
      <c r="B104" s="38">
        <v>1</v>
      </c>
      <c r="C104" s="39">
        <v>7.0000000000000007E-2</v>
      </c>
      <c r="D104" s="39">
        <f>+C104*130%</f>
        <v>9.1000000000000011E-2</v>
      </c>
      <c r="E104" s="5">
        <f>+D104*$D$87</f>
        <v>3822000.0000000005</v>
      </c>
      <c r="F104" s="5">
        <f>+D104*$D$88</f>
        <v>5733000.0000000009</v>
      </c>
      <c r="G104" s="5">
        <f>+D104*$D$89</f>
        <v>7644000.0000000009</v>
      </c>
      <c r="H104" s="5">
        <f>+$B$91*$B$85*D104</f>
        <v>764400000.00000012</v>
      </c>
    </row>
    <row r="105" spans="1:8">
      <c r="A105" s="42" t="s">
        <v>98</v>
      </c>
      <c r="B105" s="38">
        <v>0.4</v>
      </c>
      <c r="C105" s="2"/>
      <c r="D105" s="40">
        <f>+D104*B105</f>
        <v>3.6400000000000009E-2</v>
      </c>
      <c r="E105" s="5">
        <f t="shared" ref="E105:E108" si="17">+D105*$D$87</f>
        <v>1528800.0000000005</v>
      </c>
      <c r="F105" s="5">
        <f t="shared" ref="F105:F109" si="18">+D105*$D$88</f>
        <v>2293200.0000000005</v>
      </c>
      <c r="G105" s="5">
        <f t="shared" ref="G105:G109" si="19">+D105*$D$89</f>
        <v>3057600.0000000009</v>
      </c>
      <c r="H105" s="5">
        <f t="shared" ref="H105" si="20">+$B$91*$B$85*D105</f>
        <v>305760000.00000006</v>
      </c>
    </row>
    <row r="106" spans="1:8">
      <c r="A106" s="63" t="s">
        <v>99</v>
      </c>
      <c r="B106" s="38">
        <v>0.3</v>
      </c>
      <c r="C106" s="2"/>
      <c r="D106" s="39">
        <f>+B106*D105</f>
        <v>1.0920000000000003E-2</v>
      </c>
      <c r="E106" s="5">
        <f t="shared" si="17"/>
        <v>458640.00000000012</v>
      </c>
      <c r="F106" s="5">
        <f t="shared" si="18"/>
        <v>687960.00000000012</v>
      </c>
      <c r="G106" s="5">
        <f t="shared" si="19"/>
        <v>917280.00000000023</v>
      </c>
      <c r="H106" s="5">
        <v>0</v>
      </c>
    </row>
    <row r="107" spans="1:8">
      <c r="A107" s="63" t="s">
        <v>101</v>
      </c>
      <c r="B107" s="38">
        <v>0.2</v>
      </c>
      <c r="C107" s="2"/>
      <c r="D107" s="39">
        <f t="shared" ref="D107:D111" si="21">+B107*D106</f>
        <v>2.1840000000000006E-3</v>
      </c>
      <c r="E107" s="5">
        <f t="shared" si="17"/>
        <v>91728.000000000029</v>
      </c>
      <c r="F107" s="5">
        <f t="shared" si="18"/>
        <v>137592.00000000003</v>
      </c>
      <c r="G107" s="5">
        <f t="shared" si="19"/>
        <v>183456.00000000006</v>
      </c>
      <c r="H107" s="5">
        <v>0</v>
      </c>
    </row>
    <row r="108" spans="1:8">
      <c r="A108" s="63" t="s">
        <v>102</v>
      </c>
      <c r="B108" s="38">
        <v>0.1</v>
      </c>
      <c r="C108" s="2"/>
      <c r="D108" s="39">
        <f t="shared" si="21"/>
        <v>2.1840000000000008E-4</v>
      </c>
      <c r="E108" s="5">
        <f t="shared" si="17"/>
        <v>9172.8000000000029</v>
      </c>
      <c r="F108" s="5">
        <f t="shared" si="18"/>
        <v>13759.200000000004</v>
      </c>
      <c r="G108" s="5">
        <f t="shared" si="19"/>
        <v>18345.600000000006</v>
      </c>
      <c r="H108" s="5">
        <v>0</v>
      </c>
    </row>
    <row r="109" spans="1:8">
      <c r="A109" s="63" t="s">
        <v>103</v>
      </c>
      <c r="B109" s="39">
        <v>7.4999999999999997E-2</v>
      </c>
      <c r="C109" s="2"/>
      <c r="D109" s="39">
        <f t="shared" si="21"/>
        <v>1.6380000000000006E-5</v>
      </c>
      <c r="E109" s="5">
        <v>0</v>
      </c>
      <c r="F109" s="5">
        <f t="shared" si="18"/>
        <v>1031.9400000000003</v>
      </c>
      <c r="G109" s="5">
        <f t="shared" si="19"/>
        <v>1375.9200000000005</v>
      </c>
      <c r="H109" s="5">
        <v>0</v>
      </c>
    </row>
    <row r="110" spans="1:8">
      <c r="A110" s="63" t="s">
        <v>104</v>
      </c>
      <c r="B110" s="38">
        <v>0.05</v>
      </c>
      <c r="C110" s="2"/>
      <c r="D110" s="39">
        <f t="shared" si="21"/>
        <v>8.1900000000000033E-7</v>
      </c>
      <c r="E110" s="5">
        <v>0</v>
      </c>
      <c r="F110" s="5">
        <v>0</v>
      </c>
      <c r="G110" s="5">
        <v>0</v>
      </c>
      <c r="H110" s="5">
        <v>0</v>
      </c>
    </row>
    <row r="111" spans="1:8">
      <c r="A111" s="41" t="s">
        <v>94</v>
      </c>
      <c r="B111" s="38">
        <v>0.04</v>
      </c>
      <c r="C111" s="2"/>
      <c r="D111" s="39">
        <f t="shared" si="21"/>
        <v>3.2760000000000017E-8</v>
      </c>
      <c r="E111" s="5">
        <v>0</v>
      </c>
      <c r="F111" s="5">
        <v>0</v>
      </c>
      <c r="G111" s="5">
        <v>0</v>
      </c>
      <c r="H111" s="5">
        <v>0</v>
      </c>
    </row>
    <row r="112" spans="1:8">
      <c r="D112" s="49" t="s">
        <v>116</v>
      </c>
      <c r="E112" s="8">
        <f>+SUM(E104:E111)</f>
        <v>5910340.8000000007</v>
      </c>
      <c r="F112" s="8">
        <f t="shared" ref="F112:G112" si="22">+SUM(F104:F111)</f>
        <v>8866543.1400000006</v>
      </c>
      <c r="G112" s="5">
        <f t="shared" si="22"/>
        <v>11822057.520000001</v>
      </c>
      <c r="H112" s="5">
        <f>+SUM(H104:H111)</f>
        <v>1070160000.0000002</v>
      </c>
    </row>
    <row r="113" spans="1:8">
      <c r="D113" s="158" t="s">
        <v>240</v>
      </c>
      <c r="E113" s="159"/>
      <c r="F113" s="159"/>
      <c r="G113" s="160"/>
      <c r="H113" s="5">
        <f>+SUM(E112:H112)</f>
        <v>1096758941.4600003</v>
      </c>
    </row>
    <row r="114" spans="1:8">
      <c r="D114" s="158" t="s">
        <v>241</v>
      </c>
      <c r="E114" s="159"/>
      <c r="F114" s="159"/>
      <c r="G114" s="160"/>
      <c r="H114" s="5">
        <f>+H113/0.84</f>
        <v>1305665406.5000005</v>
      </c>
    </row>
    <row r="116" spans="1:8" ht="15.75" thickBot="1"/>
    <row r="117" spans="1:8" ht="15.75">
      <c r="A117" s="146" t="s">
        <v>246</v>
      </c>
      <c r="B117" s="147"/>
    </row>
    <row r="118" spans="1:8">
      <c r="A118" s="133" t="s">
        <v>247</v>
      </c>
      <c r="B118" s="82">
        <v>1400000</v>
      </c>
    </row>
    <row r="119" spans="1:8">
      <c r="A119" s="133" t="s">
        <v>248</v>
      </c>
      <c r="B119" s="134">
        <v>2000</v>
      </c>
    </row>
    <row r="120" spans="1:8" ht="15.75" thickBot="1">
      <c r="A120" s="135" t="s">
        <v>249</v>
      </c>
      <c r="B120" s="84">
        <f>B119*B118</f>
        <v>2800000000</v>
      </c>
    </row>
    <row r="121" spans="1:8" ht="15.75" thickBot="1"/>
    <row r="122" spans="1:8">
      <c r="A122" s="148" t="s">
        <v>250</v>
      </c>
      <c r="B122" s="149"/>
      <c r="C122" s="152" t="s">
        <v>96</v>
      </c>
      <c r="D122" s="152" t="s">
        <v>97</v>
      </c>
      <c r="E122" s="156" t="s">
        <v>251</v>
      </c>
    </row>
    <row r="123" spans="1:8">
      <c r="A123" s="150"/>
      <c r="B123" s="151"/>
      <c r="C123" s="153"/>
      <c r="D123" s="153"/>
      <c r="E123" s="157"/>
    </row>
    <row r="124" spans="1:8" ht="15.75" thickBot="1">
      <c r="A124" s="136" t="s">
        <v>100</v>
      </c>
      <c r="B124" s="137">
        <v>1</v>
      </c>
      <c r="C124" s="138">
        <v>7.0000000000000007E-2</v>
      </c>
      <c r="D124" s="138">
        <f>+C124*130%</f>
        <v>9.1000000000000011E-2</v>
      </c>
      <c r="E124" s="84">
        <f>+B120*D124</f>
        <v>254800000.00000003</v>
      </c>
    </row>
    <row r="125" spans="1:8" ht="15.75" thickBot="1"/>
    <row r="126" spans="1:8">
      <c r="A126" s="144" t="s">
        <v>252</v>
      </c>
      <c r="B126" s="145"/>
      <c r="C126" s="154" t="s">
        <v>268</v>
      </c>
    </row>
    <row r="127" spans="1:8">
      <c r="A127" s="133" t="s">
        <v>253</v>
      </c>
      <c r="B127" s="89">
        <f>2400000*12</f>
        <v>28800000</v>
      </c>
      <c r="C127" s="155"/>
    </row>
    <row r="128" spans="1:8">
      <c r="A128" s="133" t="s">
        <v>254</v>
      </c>
      <c r="B128" s="89">
        <f>5000000*12</f>
        <v>60000000</v>
      </c>
      <c r="C128" s="155"/>
    </row>
    <row r="129" spans="1:3" ht="15.75" thickBot="1">
      <c r="A129" s="133" t="s">
        <v>200</v>
      </c>
      <c r="B129" s="89">
        <f>+B127+B128</f>
        <v>88800000</v>
      </c>
      <c r="C129" s="142">
        <f>+SUM('FLUJO DE TESORERÍA '!B29:L29)</f>
        <v>849176223.57569575</v>
      </c>
    </row>
    <row r="130" spans="1:3" ht="15.75" thickBot="1">
      <c r="A130" s="135" t="s">
        <v>255</v>
      </c>
      <c r="B130" s="139">
        <v>0.04</v>
      </c>
    </row>
    <row r="131" spans="1:3" ht="15.75" thickBot="1"/>
    <row r="132" spans="1:3" ht="15.75">
      <c r="A132" s="146" t="s">
        <v>256</v>
      </c>
      <c r="B132" s="147"/>
    </row>
    <row r="133" spans="1:3">
      <c r="A133" s="133" t="s">
        <v>257</v>
      </c>
      <c r="B133" s="69">
        <v>17000</v>
      </c>
    </row>
    <row r="134" spans="1:3">
      <c r="A134" s="133" t="s">
        <v>258</v>
      </c>
      <c r="B134" s="69">
        <f>B133*10000</f>
        <v>170000000</v>
      </c>
    </row>
    <row r="135" spans="1:3">
      <c r="A135" s="133" t="s">
        <v>259</v>
      </c>
      <c r="B135" s="134">
        <v>60</v>
      </c>
    </row>
    <row r="136" spans="1:3">
      <c r="A136" s="133" t="s">
        <v>249</v>
      </c>
      <c r="B136" s="82">
        <f>B135*B134</f>
        <v>10200000000</v>
      </c>
    </row>
    <row r="137" spans="1:3">
      <c r="A137" s="133" t="s">
        <v>261</v>
      </c>
      <c r="B137" s="82">
        <v>2000000000</v>
      </c>
    </row>
    <row r="138" spans="1:3" ht="15.75" thickBot="1">
      <c r="A138" s="135" t="s">
        <v>262</v>
      </c>
      <c r="B138" s="140">
        <f>+B136+B137</f>
        <v>12200000000</v>
      </c>
    </row>
  </sheetData>
  <mergeCells count="43">
    <mergeCell ref="D76:G76"/>
    <mergeCell ref="A99:D99"/>
    <mergeCell ref="A75:B75"/>
    <mergeCell ref="C24:C25"/>
    <mergeCell ref="A76:B76"/>
    <mergeCell ref="G48:H48"/>
    <mergeCell ref="G49:H49"/>
    <mergeCell ref="G50:H50"/>
    <mergeCell ref="G51:H51"/>
    <mergeCell ref="G52:H52"/>
    <mergeCell ref="A73:B73"/>
    <mergeCell ref="G54:H54"/>
    <mergeCell ref="G47:I47"/>
    <mergeCell ref="G53:H53"/>
    <mergeCell ref="A1:M1"/>
    <mergeCell ref="A3:M3"/>
    <mergeCell ref="H71:J71"/>
    <mergeCell ref="H72:J72"/>
    <mergeCell ref="A71:B71"/>
    <mergeCell ref="A69:C69"/>
    <mergeCell ref="E61:F61"/>
    <mergeCell ref="A24:B24"/>
    <mergeCell ref="A60:B60"/>
    <mergeCell ref="A47:B47"/>
    <mergeCell ref="D47:E47"/>
    <mergeCell ref="A70:B70"/>
    <mergeCell ref="A72:B72"/>
    <mergeCell ref="M30:M31"/>
    <mergeCell ref="A30:L30"/>
    <mergeCell ref="A41:L41"/>
    <mergeCell ref="D122:D123"/>
    <mergeCell ref="E122:E123"/>
    <mergeCell ref="D113:G113"/>
    <mergeCell ref="D114:G114"/>
    <mergeCell ref="A84:B84"/>
    <mergeCell ref="A90:B90"/>
    <mergeCell ref="A103:B103"/>
    <mergeCell ref="A126:B126"/>
    <mergeCell ref="A132:B132"/>
    <mergeCell ref="A117:B117"/>
    <mergeCell ref="A122:B123"/>
    <mergeCell ref="C122:C123"/>
    <mergeCell ref="C126:C128"/>
  </mergeCells>
  <pageMargins left="0.7" right="0.7" top="0.75" bottom="0.75" header="0.3" footer="0.3"/>
  <pageSetup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8"/>
  <sheetViews>
    <sheetView workbookViewId="0">
      <selection activeCell="D21" sqref="D21"/>
    </sheetView>
  </sheetViews>
  <sheetFormatPr baseColWidth="10" defaultRowHeight="15"/>
  <cols>
    <col min="1" max="1" width="34.42578125" bestFit="1" customWidth="1"/>
    <col min="2" max="2" width="23.140625" customWidth="1"/>
    <col min="3" max="3" width="22.5703125" customWidth="1"/>
    <col min="4" max="4" width="21.42578125" bestFit="1" customWidth="1"/>
    <col min="5" max="5" width="19.85546875" customWidth="1"/>
    <col min="6" max="6" width="21.140625" customWidth="1"/>
    <col min="7" max="7" width="19.42578125" customWidth="1"/>
    <col min="8" max="8" width="22.28515625" customWidth="1"/>
    <col min="9" max="9" width="21.42578125" customWidth="1"/>
    <col min="10" max="10" width="18.7109375" bestFit="1" customWidth="1"/>
    <col min="11" max="11" width="19.42578125" customWidth="1"/>
    <col min="12" max="12" width="34.140625" customWidth="1"/>
    <col min="13" max="13" width="22.42578125" customWidth="1"/>
    <col min="14" max="14" width="21.42578125" customWidth="1"/>
    <col min="15" max="15" width="16.7109375" customWidth="1"/>
    <col min="16" max="16" width="17.28515625" customWidth="1"/>
    <col min="17" max="17" width="17.7109375" bestFit="1" customWidth="1"/>
  </cols>
  <sheetData>
    <row r="1" spans="1:6" ht="30">
      <c r="A1" s="90" t="s">
        <v>194</v>
      </c>
      <c r="B1" s="91" t="s">
        <v>195</v>
      </c>
      <c r="C1" s="91" t="s">
        <v>196</v>
      </c>
      <c r="D1" s="102" t="s">
        <v>197</v>
      </c>
    </row>
    <row r="2" spans="1:6">
      <c r="A2" s="68" t="s">
        <v>198</v>
      </c>
      <c r="B2" s="48">
        <v>10000</v>
      </c>
      <c r="C2" s="5">
        <v>3200000</v>
      </c>
      <c r="D2" s="82">
        <f>+B2*C2</f>
        <v>32000000000</v>
      </c>
    </row>
    <row r="3" spans="1:6" ht="15.75" thickBot="1">
      <c r="A3" s="103" t="s">
        <v>200</v>
      </c>
      <c r="B3" s="104">
        <f>+B2</f>
        <v>10000</v>
      </c>
      <c r="C3" s="83">
        <f t="shared" ref="C3:D3" si="0">+C2</f>
        <v>3200000</v>
      </c>
      <c r="D3" s="84">
        <f t="shared" si="0"/>
        <v>32000000000</v>
      </c>
    </row>
    <row r="4" spans="1:6" ht="15.75" thickBot="1"/>
    <row r="5" spans="1:6" ht="30">
      <c r="A5" s="90" t="s">
        <v>194</v>
      </c>
      <c r="B5" s="91" t="s">
        <v>195</v>
      </c>
      <c r="C5" s="91" t="s">
        <v>196</v>
      </c>
      <c r="D5" s="92" t="s">
        <v>197</v>
      </c>
      <c r="E5" s="93" t="s">
        <v>219</v>
      </c>
      <c r="F5" s="94" t="s">
        <v>220</v>
      </c>
    </row>
    <row r="6" spans="1:6">
      <c r="A6" s="68" t="s">
        <v>275</v>
      </c>
      <c r="B6" s="48">
        <f t="shared" ref="B6:C8" si="1">+B13</f>
        <v>25000</v>
      </c>
      <c r="C6" s="5">
        <f t="shared" si="1"/>
        <v>3500000</v>
      </c>
      <c r="D6" s="89">
        <f>+B6*C6</f>
        <v>87500000000</v>
      </c>
      <c r="E6" s="32">
        <f>+D6/$D$9</f>
        <v>0.25773195876288657</v>
      </c>
      <c r="F6" s="95">
        <f>+B6/$B$9</f>
        <v>0.25773195876288657</v>
      </c>
    </row>
    <row r="7" spans="1:6">
      <c r="A7" s="68" t="s">
        <v>276</v>
      </c>
      <c r="B7" s="48">
        <f t="shared" si="1"/>
        <v>36000</v>
      </c>
      <c r="C7" s="5">
        <f t="shared" si="1"/>
        <v>3500000</v>
      </c>
      <c r="D7" s="89">
        <f t="shared" ref="D7:D8" si="2">+B7*C7</f>
        <v>126000000000</v>
      </c>
      <c r="E7" s="32">
        <f>+D7/$D$9</f>
        <v>0.37113402061855671</v>
      </c>
      <c r="F7" s="95">
        <f>+B7/$B$9</f>
        <v>0.37113402061855671</v>
      </c>
    </row>
    <row r="8" spans="1:6">
      <c r="A8" s="68" t="s">
        <v>277</v>
      </c>
      <c r="B8" s="48">
        <f t="shared" si="1"/>
        <v>36000</v>
      </c>
      <c r="C8" s="5">
        <f t="shared" si="1"/>
        <v>3500000</v>
      </c>
      <c r="D8" s="89">
        <f t="shared" si="2"/>
        <v>126000000000</v>
      </c>
      <c r="E8" s="32">
        <f>+D8/$D$9</f>
        <v>0.37113402061855671</v>
      </c>
      <c r="F8" s="95">
        <f>+B8/$B$9</f>
        <v>0.37113402061855671</v>
      </c>
    </row>
    <row r="9" spans="1:6" ht="15.75" thickBot="1">
      <c r="A9" s="88" t="s">
        <v>200</v>
      </c>
      <c r="B9" s="100">
        <f>+SUM(B6:B8)</f>
        <v>97000</v>
      </c>
      <c r="C9" s="100">
        <f t="shared" ref="C9:F9" si="3">+SUM(C6:C8)</f>
        <v>10500000</v>
      </c>
      <c r="D9" s="100">
        <f t="shared" si="3"/>
        <v>339500000000</v>
      </c>
      <c r="E9" s="98">
        <f t="shared" si="3"/>
        <v>1</v>
      </c>
      <c r="F9" s="98">
        <f t="shared" si="3"/>
        <v>1</v>
      </c>
    </row>
    <row r="10" spans="1:6" ht="15.75" thickBot="1"/>
    <row r="11" spans="1:6" ht="30">
      <c r="A11" s="90" t="s">
        <v>194</v>
      </c>
      <c r="B11" s="91" t="s">
        <v>195</v>
      </c>
      <c r="C11" s="91" t="s">
        <v>196</v>
      </c>
      <c r="D11" s="92" t="s">
        <v>197</v>
      </c>
      <c r="E11" s="93" t="s">
        <v>219</v>
      </c>
      <c r="F11" s="94" t="s">
        <v>220</v>
      </c>
    </row>
    <row r="12" spans="1:6">
      <c r="A12" s="68" t="s">
        <v>198</v>
      </c>
      <c r="B12" s="48">
        <v>10000</v>
      </c>
      <c r="C12" s="5">
        <f>+'DATOS GENERALES'!B97</f>
        <v>2900000</v>
      </c>
      <c r="D12" s="89">
        <f>+B12*C12</f>
        <v>29000000000</v>
      </c>
      <c r="E12" s="32">
        <f t="shared" ref="E12:E17" si="4">+D12/$D$17</f>
        <v>7.8697421981004073E-2</v>
      </c>
      <c r="F12" s="95">
        <f t="shared" ref="F12:F17" si="5">+B12/$B$17</f>
        <v>9.3457943925233641E-2</v>
      </c>
    </row>
    <row r="13" spans="1:6">
      <c r="A13" s="68" t="s">
        <v>275</v>
      </c>
      <c r="B13" s="48">
        <f>+'DATOS GENERALES'!C14*'DATOS GENERALES'!B14</f>
        <v>25000</v>
      </c>
      <c r="C13" s="5">
        <f>+'DATOS GENERALES'!B11</f>
        <v>3500000</v>
      </c>
      <c r="D13" s="89">
        <f>+B13*C13</f>
        <v>87500000000</v>
      </c>
      <c r="E13" s="32">
        <f t="shared" si="4"/>
        <v>0.23744911804613297</v>
      </c>
      <c r="F13" s="95">
        <f t="shared" si="5"/>
        <v>0.23364485981308411</v>
      </c>
    </row>
    <row r="14" spans="1:6">
      <c r="A14" s="68" t="s">
        <v>276</v>
      </c>
      <c r="B14" s="48">
        <f>+'DATOS GENERALES'!B15*'DATOS GENERALES'!C15</f>
        <v>36000</v>
      </c>
      <c r="C14" s="5">
        <f>+'DATOS GENERALES'!B11</f>
        <v>3500000</v>
      </c>
      <c r="D14" s="89">
        <f t="shared" ref="D14:D15" si="6">+B14*C14</f>
        <v>126000000000</v>
      </c>
      <c r="E14" s="32">
        <f t="shared" si="4"/>
        <v>0.34192672998643148</v>
      </c>
      <c r="F14" s="95">
        <f t="shared" si="5"/>
        <v>0.3364485981308411</v>
      </c>
    </row>
    <row r="15" spans="1:6">
      <c r="A15" s="68" t="s">
        <v>277</v>
      </c>
      <c r="B15" s="48">
        <f>+'DATOS GENERALES'!B16*'DATOS GENERALES'!C16</f>
        <v>36000</v>
      </c>
      <c r="C15" s="5">
        <f>+'DATOS GENERALES'!B11</f>
        <v>3500000</v>
      </c>
      <c r="D15" s="89">
        <f t="shared" si="6"/>
        <v>126000000000</v>
      </c>
      <c r="E15" s="32">
        <f t="shared" si="4"/>
        <v>0.34192672998643148</v>
      </c>
      <c r="F15" s="95">
        <f t="shared" si="5"/>
        <v>0.3364485981308411</v>
      </c>
    </row>
    <row r="16" spans="1:6">
      <c r="A16" s="68" t="s">
        <v>199</v>
      </c>
      <c r="B16" s="48">
        <f>+SUM(B13:B15)</f>
        <v>97000</v>
      </c>
      <c r="C16" s="5"/>
      <c r="D16" s="89">
        <f>+SUM(D13:D15)</f>
        <v>339500000000</v>
      </c>
      <c r="E16" s="32">
        <f t="shared" si="4"/>
        <v>0.92130257801899595</v>
      </c>
      <c r="F16" s="95">
        <f t="shared" si="5"/>
        <v>0.90654205607476634</v>
      </c>
    </row>
    <row r="17" spans="1:8" ht="15.75" thickBot="1">
      <c r="A17" s="88" t="s">
        <v>200</v>
      </c>
      <c r="B17" s="100">
        <f>+B12+B16</f>
        <v>107000</v>
      </c>
      <c r="C17" s="96"/>
      <c r="D17" s="97">
        <f>+D12+D16</f>
        <v>368500000000</v>
      </c>
      <c r="E17" s="98">
        <f t="shared" si="4"/>
        <v>1</v>
      </c>
      <c r="F17" s="99">
        <f t="shared" si="5"/>
        <v>1</v>
      </c>
    </row>
    <row r="19" spans="1:8">
      <c r="A19" s="10" t="s">
        <v>219</v>
      </c>
      <c r="B19" s="32">
        <f>+B21/D21</f>
        <v>7.8697421981004073E-2</v>
      </c>
      <c r="C19" s="32">
        <f>+C21/D21</f>
        <v>0.92130257801899595</v>
      </c>
      <c r="D19" s="16">
        <v>1</v>
      </c>
    </row>
    <row r="20" spans="1:8">
      <c r="A20" s="62" t="s">
        <v>201</v>
      </c>
      <c r="B20" s="62" t="s">
        <v>198</v>
      </c>
      <c r="C20" s="132" t="s">
        <v>271</v>
      </c>
      <c r="D20" s="62" t="s">
        <v>200</v>
      </c>
    </row>
    <row r="21" spans="1:8">
      <c r="A21" s="2" t="s">
        <v>202</v>
      </c>
      <c r="B21" s="8">
        <f>+D12</f>
        <v>29000000000</v>
      </c>
      <c r="C21" s="8">
        <f>+D16</f>
        <v>339500000000</v>
      </c>
      <c r="D21" s="8">
        <f>+D17</f>
        <v>368500000000</v>
      </c>
    </row>
    <row r="22" spans="1:8">
      <c r="A22" s="10" t="s">
        <v>224</v>
      </c>
      <c r="B22" s="8">
        <f>+('DATOS GENERALES'!C90+'DATOS GENERALES'!B91)*'DATOS GENERALES'!B5</f>
        <v>7028156317.8367786</v>
      </c>
      <c r="C22" s="8">
        <f>+('DATOS GENERALES'!B5*'DATOS GENERALES'!$B$14*'DATOS GENERALES'!$C$14)+('DATOS GENERALES'!B5*'DATOS GENERALES'!$B$15*'DATOS GENERALES'!$C$15)+('DATOS GENERALES'!B5*'DATOS GENERALES'!$B$16*'DATOS GENERALES'!$C$16)</f>
        <v>68343976223.575699</v>
      </c>
      <c r="D22" s="8">
        <f t="shared" ref="D22:D27" si="7">+B22+C22</f>
        <v>75372132541.412476</v>
      </c>
      <c r="G22" s="101"/>
    </row>
    <row r="23" spans="1:8">
      <c r="A23" s="2" t="s">
        <v>204</v>
      </c>
      <c r="B23" s="8">
        <f>+'DATOS GENERALES'!B85*('DATOS GENERALES'!C90+'DATOS GENERALES'!B91)</f>
        <v>13965000000</v>
      </c>
      <c r="C23" s="8">
        <f>+('DATOS GENERALES'!B8*'DATOS GENERALES'!$B$14*'DATOS GENERALES'!$C$14)+('DATOS GENERALES'!B8*'DATOS GENERALES'!$B$15*'DATOS GENERALES'!$C$15)+('DATOS GENERALES'!B8*'DATOS GENERALES'!$B$16*'DATOS GENERALES'!$C$16)+'DATOS GENERALES'!B120</f>
        <v>138600000000</v>
      </c>
      <c r="D23" s="8">
        <f t="shared" si="7"/>
        <v>152565000000</v>
      </c>
      <c r="G23" s="101"/>
    </row>
    <row r="24" spans="1:8">
      <c r="A24" s="2" t="s">
        <v>208</v>
      </c>
      <c r="B24" s="8">
        <f>+'DATOS GENERALES'!H114</f>
        <v>1305665406.5000005</v>
      </c>
      <c r="C24" s="8">
        <f>+'DATOS GENERALES'!K72+'DATOS GENERALES'!E124</f>
        <v>621498223.86005104</v>
      </c>
      <c r="D24" s="8">
        <f t="shared" si="7"/>
        <v>1927163630.3600516</v>
      </c>
      <c r="G24" s="3"/>
    </row>
    <row r="25" spans="1:8">
      <c r="A25" s="2" t="s">
        <v>205</v>
      </c>
      <c r="B25" s="8">
        <v>0</v>
      </c>
      <c r="C25" s="8">
        <f>+'FLUJO DE TESORERÍA '!B18+'FLUJO DE TESORERÍA '!B32+SUM('FLUJO DE TESORERÍA '!B33:L33)+'DATOS GENERALES'!C129</f>
        <v>5366127407.3965025</v>
      </c>
      <c r="D25" s="8">
        <f t="shared" si="7"/>
        <v>5366127407.3965025</v>
      </c>
      <c r="G25" s="101"/>
    </row>
    <row r="26" spans="1:8">
      <c r="A26" s="2" t="s">
        <v>34</v>
      </c>
      <c r="B26" s="8">
        <f>+B21*'DATOS GENERALES'!$B$82+(B19*SUM('FLUJO DE TESORERÍA '!A31:L31))</f>
        <v>553781725.98021686</v>
      </c>
      <c r="C26" s="8">
        <f>+C21*'DATOS GENERALES'!$B$82+(C19*SUM('FLUJO DE TESORERÍA '!B31:L31))</f>
        <v>6483065378.2856426</v>
      </c>
      <c r="D26" s="8">
        <f t="shared" si="7"/>
        <v>7036847104.2658596</v>
      </c>
      <c r="G26" s="101"/>
    </row>
    <row r="27" spans="1:8">
      <c r="A27" s="2" t="s">
        <v>207</v>
      </c>
      <c r="B27" s="8">
        <f>+'DATOS GENERALES'!B122</f>
        <v>0</v>
      </c>
      <c r="C27" s="8">
        <f>+SUM('FLUJO DE TESORERÍA '!B30:L30)</f>
        <v>7671597535.7137995</v>
      </c>
      <c r="D27" s="8">
        <f t="shared" si="7"/>
        <v>7671597535.7137995</v>
      </c>
    </row>
    <row r="28" spans="1:8">
      <c r="A28" s="108" t="str">
        <f>A43</f>
        <v>TOTAL DESARROLLOS INMOBILIARIOS</v>
      </c>
      <c r="B28" s="126">
        <f>SUM(B22:B27)</f>
        <v>22852603450.316994</v>
      </c>
      <c r="C28" s="126">
        <f t="shared" ref="C28" si="8">SUM(C22:C27)</f>
        <v>227086264768.8317</v>
      </c>
      <c r="D28" s="126">
        <f>SUM(D22:D27)</f>
        <v>249938868219.14871</v>
      </c>
      <c r="G28" s="101"/>
    </row>
    <row r="29" spans="1:8">
      <c r="A29" s="2" t="s">
        <v>203</v>
      </c>
      <c r="B29" s="8">
        <f>+'DATOS GENERALES'!B58*2</f>
        <v>448000000</v>
      </c>
      <c r="C29" s="8">
        <f>+'DATOS GENERALES'!B57-B29</f>
        <v>26432000000</v>
      </c>
      <c r="D29" s="8">
        <f>+B29+C29</f>
        <v>26880000000</v>
      </c>
      <c r="G29" s="3"/>
    </row>
    <row r="30" spans="1:8">
      <c r="A30" s="2" t="str">
        <f>A45</f>
        <v>TOTAL COSTOS DESARROLLOS</v>
      </c>
      <c r="B30" s="8">
        <f>B28+B29</f>
        <v>23300603450.316994</v>
      </c>
      <c r="C30" s="8">
        <f t="shared" ref="C30" si="9">C28+C29</f>
        <v>253518264768.8317</v>
      </c>
      <c r="D30" s="8">
        <f>D28+D29</f>
        <v>276818868219.14868</v>
      </c>
      <c r="G30" s="101"/>
      <c r="H30" s="101"/>
    </row>
    <row r="31" spans="1:8" ht="15.75">
      <c r="A31" s="179" t="s">
        <v>139</v>
      </c>
      <c r="B31" s="105">
        <f>B21-B30</f>
        <v>5699396549.6830063</v>
      </c>
      <c r="C31" s="105">
        <f t="shared" ref="C31" si="10">C21-C30</f>
        <v>85981735231.168304</v>
      </c>
      <c r="D31" s="105">
        <f>D21-D30</f>
        <v>91681131780.851318</v>
      </c>
      <c r="G31" s="106"/>
      <c r="H31" s="106"/>
    </row>
    <row r="32" spans="1:8">
      <c r="A32" s="179"/>
      <c r="B32" s="131">
        <f>+B31/B21</f>
        <v>0.19653091550631055</v>
      </c>
      <c r="C32" s="131">
        <f t="shared" ref="C32" si="11">+C31/C21</f>
        <v>0.25325989758812462</v>
      </c>
      <c r="D32" s="131">
        <f>+D31/D21</f>
        <v>0.24879547294667928</v>
      </c>
    </row>
    <row r="33" spans="1:17" ht="17.25" customHeight="1"/>
    <row r="34" spans="1:17" ht="17.25" customHeight="1">
      <c r="A34" s="62" t="s">
        <v>201</v>
      </c>
      <c r="B34" s="158" t="s">
        <v>272</v>
      </c>
      <c r="C34" s="159"/>
      <c r="D34" s="160"/>
    </row>
    <row r="35" spans="1:17" ht="17.25" customHeight="1">
      <c r="A35" s="2" t="s">
        <v>202</v>
      </c>
      <c r="B35" s="181">
        <f>D6</f>
        <v>87500000000</v>
      </c>
      <c r="C35" s="182"/>
      <c r="D35" s="183"/>
    </row>
    <row r="36" spans="1:17" s="114" customFormat="1" ht="18.75" customHeight="1">
      <c r="A36" s="111" t="s">
        <v>228</v>
      </c>
      <c r="B36" s="112" t="s">
        <v>230</v>
      </c>
      <c r="C36" s="111" t="s">
        <v>231</v>
      </c>
      <c r="D36" s="113">
        <f>D45/B13</f>
        <v>2613590.3584415638</v>
      </c>
    </row>
    <row r="37" spans="1:17" ht="17.25" customHeight="1">
      <c r="A37" s="2" t="s">
        <v>224</v>
      </c>
      <c r="B37" s="115">
        <f>D37/$D$43</f>
        <v>0.30096041384602545</v>
      </c>
      <c r="C37" s="115">
        <f>D37/$B$35</f>
        <v>0.20130773556281503</v>
      </c>
      <c r="D37" s="5">
        <f>(C22/B16)*B13</f>
        <v>17614426861.746315</v>
      </c>
      <c r="Q37" s="3"/>
    </row>
    <row r="38" spans="1:17">
      <c r="A38" s="2" t="s">
        <v>204</v>
      </c>
      <c r="B38" s="115">
        <f t="shared" ref="B38:B42" si="12">D38/$D$43</f>
        <v>0.61034074491951951</v>
      </c>
      <c r="C38" s="115">
        <f t="shared" ref="C38:C42" si="13">D38/$B$35</f>
        <v>0.40824742268041231</v>
      </c>
      <c r="D38" s="5">
        <f>(C23/B16)*B13</f>
        <v>35721649484.536079</v>
      </c>
    </row>
    <row r="39" spans="1:17">
      <c r="A39" s="2" t="s">
        <v>208</v>
      </c>
      <c r="B39" s="115">
        <f t="shared" si="12"/>
        <v>2.7368375823730294E-3</v>
      </c>
      <c r="C39" s="115">
        <f t="shared" si="13"/>
        <v>1.8306280526069248E-3</v>
      </c>
      <c r="D39" s="5">
        <f>(C24/B16)*B13</f>
        <v>160179954.60310593</v>
      </c>
    </row>
    <row r="40" spans="1:17">
      <c r="A40" s="2" t="s">
        <v>205</v>
      </c>
      <c r="B40" s="115">
        <f t="shared" si="12"/>
        <v>2.3630347757311921E-2</v>
      </c>
      <c r="C40" s="115">
        <f t="shared" si="13"/>
        <v>1.5805971744908699E-2</v>
      </c>
      <c r="D40" s="5">
        <f>(C25/B16)*B13</f>
        <v>1383022527.6795111</v>
      </c>
    </row>
    <row r="41" spans="1:17">
      <c r="A41" s="2" t="s">
        <v>206</v>
      </c>
      <c r="B41" s="115">
        <f t="shared" si="12"/>
        <v>2.8548910190077968E-2</v>
      </c>
      <c r="C41" s="115">
        <f t="shared" si="13"/>
        <v>1.9095921585524721E-2</v>
      </c>
      <c r="D41" s="5">
        <f>(C26/B16)*B13</f>
        <v>1670893138.733413</v>
      </c>
    </row>
    <row r="42" spans="1:17">
      <c r="A42" s="2" t="s">
        <v>207</v>
      </c>
      <c r="B42" s="115">
        <f t="shared" si="12"/>
        <v>3.3782745704692002E-2</v>
      </c>
      <c r="C42" s="115">
        <f t="shared" si="13"/>
        <v>2.2596752682514872E-2</v>
      </c>
      <c r="D42" s="5">
        <f>(C27/B16)*B13</f>
        <v>1977215859.7200513</v>
      </c>
    </row>
    <row r="43" spans="1:17">
      <c r="A43" s="108" t="s">
        <v>232</v>
      </c>
      <c r="B43" s="2"/>
      <c r="C43" s="116">
        <f>SUM(C37:C42)</f>
        <v>0.66888443230878258</v>
      </c>
      <c r="D43" s="109">
        <f>SUM(D37:D42)</f>
        <v>58527387827.018478</v>
      </c>
    </row>
    <row r="44" spans="1:17">
      <c r="A44" s="2" t="s">
        <v>203</v>
      </c>
      <c r="B44" s="2"/>
      <c r="C44" s="115">
        <f>D44/B35</f>
        <v>7.7855670103092786E-2</v>
      </c>
      <c r="D44" s="5">
        <f>(C29/B16)*B13</f>
        <v>6812371134.0206184</v>
      </c>
    </row>
    <row r="45" spans="1:17">
      <c r="A45" s="49" t="s">
        <v>229</v>
      </c>
      <c r="B45" s="2"/>
      <c r="C45" s="117">
        <f>C44+C43</f>
        <v>0.74674010241187538</v>
      </c>
      <c r="D45" s="110">
        <f>D44+D43</f>
        <v>65339758961.039093</v>
      </c>
    </row>
    <row r="46" spans="1:17">
      <c r="A46" s="49" t="s">
        <v>139</v>
      </c>
      <c r="B46" s="49"/>
      <c r="C46" s="117">
        <f>100%-C45</f>
        <v>0.25325989758812462</v>
      </c>
      <c r="D46" s="110">
        <f>B35-D45</f>
        <v>22160241038.960907</v>
      </c>
    </row>
    <row r="47" spans="1:17">
      <c r="A47" s="118"/>
      <c r="B47" s="118"/>
      <c r="C47" s="119"/>
      <c r="D47" s="120"/>
      <c r="J47" s="3"/>
    </row>
    <row r="48" spans="1:17">
      <c r="A48" s="107" t="s">
        <v>201</v>
      </c>
      <c r="B48" s="158" t="s">
        <v>273</v>
      </c>
      <c r="C48" s="159"/>
      <c r="D48" s="160"/>
    </row>
    <row r="49" spans="1:5">
      <c r="A49" s="2" t="s">
        <v>202</v>
      </c>
      <c r="B49" s="181">
        <f>D7</f>
        <v>126000000000</v>
      </c>
      <c r="C49" s="182"/>
      <c r="D49" s="183"/>
    </row>
    <row r="50" spans="1:5">
      <c r="A50" s="111" t="s">
        <v>228</v>
      </c>
      <c r="B50" s="121" t="str">
        <f>B36</f>
        <v>Incidencia Mtr² Const.</v>
      </c>
      <c r="C50" s="122" t="str">
        <f>C36</f>
        <v>Incidencia Mtr² Ventas</v>
      </c>
      <c r="D50" s="113">
        <f>D59/B14</f>
        <v>2613590.3584415633</v>
      </c>
    </row>
    <row r="51" spans="1:5">
      <c r="A51" s="2" t="s">
        <v>224</v>
      </c>
      <c r="B51" s="115">
        <f t="shared" ref="B51:B56" si="14">D51/$D$57</f>
        <v>0.30096041384602551</v>
      </c>
      <c r="C51" s="115">
        <f t="shared" ref="C51:C56" si="15">D51/$B$49</f>
        <v>0.20130773556281503</v>
      </c>
      <c r="D51" s="5">
        <f>(C22/B16)*B14</f>
        <v>25364774680.914696</v>
      </c>
    </row>
    <row r="52" spans="1:5">
      <c r="A52" s="2" t="s">
        <v>204</v>
      </c>
      <c r="B52" s="115">
        <f t="shared" si="14"/>
        <v>0.61034074491951962</v>
      </c>
      <c r="C52" s="115">
        <f t="shared" si="15"/>
        <v>0.40824742268041236</v>
      </c>
      <c r="D52" s="5">
        <f>(C23/B16)*B14</f>
        <v>51439175257.731956</v>
      </c>
    </row>
    <row r="53" spans="1:5">
      <c r="A53" s="2" t="s">
        <v>208</v>
      </c>
      <c r="B53" s="115">
        <f t="shared" si="14"/>
        <v>2.7368375823730302E-3</v>
      </c>
      <c r="C53" s="115">
        <f t="shared" si="15"/>
        <v>1.8306280526069251E-3</v>
      </c>
      <c r="D53" s="5">
        <f>(C24/B16)*B14</f>
        <v>230659134.62847257</v>
      </c>
    </row>
    <row r="54" spans="1:5">
      <c r="A54" s="2" t="s">
        <v>205</v>
      </c>
      <c r="B54" s="115">
        <f t="shared" si="14"/>
        <v>2.3630347757311921E-2</v>
      </c>
      <c r="C54" s="115">
        <f t="shared" si="15"/>
        <v>1.5805971744908699E-2</v>
      </c>
      <c r="D54" s="5">
        <f>(C25/B16)*B14</f>
        <v>1991552439.858496</v>
      </c>
    </row>
    <row r="55" spans="1:5">
      <c r="A55" s="2" t="s">
        <v>206</v>
      </c>
      <c r="B55" s="115">
        <f t="shared" si="14"/>
        <v>2.8548910190077971E-2</v>
      </c>
      <c r="C55" s="115">
        <f t="shared" si="15"/>
        <v>1.9095921585524721E-2</v>
      </c>
      <c r="D55" s="5">
        <f>(C26/B16)*B14</f>
        <v>2406086119.7761149</v>
      </c>
    </row>
    <row r="56" spans="1:5">
      <c r="A56" s="2" t="s">
        <v>207</v>
      </c>
      <c r="B56" s="115">
        <f t="shared" si="14"/>
        <v>3.3782745704692002E-2</v>
      </c>
      <c r="C56" s="115">
        <f t="shared" si="15"/>
        <v>2.2596752682514872E-2</v>
      </c>
      <c r="D56" s="5">
        <f>(C27/B16)*B14</f>
        <v>2847190837.9968739</v>
      </c>
    </row>
    <row r="57" spans="1:5">
      <c r="A57" s="108" t="s">
        <v>232</v>
      </c>
      <c r="B57" s="2"/>
      <c r="C57" s="116">
        <f>SUM(C51:C56)</f>
        <v>0.66888443230878258</v>
      </c>
      <c r="D57" s="109">
        <f>SUM(D51:D56)</f>
        <v>84279438470.906601</v>
      </c>
    </row>
    <row r="58" spans="1:5">
      <c r="A58" s="2" t="s">
        <v>203</v>
      </c>
      <c r="B58" s="2"/>
      <c r="C58" s="115">
        <f>D58/B49</f>
        <v>7.7855670103092786E-2</v>
      </c>
      <c r="D58" s="5">
        <f>(C29/B16)*B14</f>
        <v>9809814432.9896908</v>
      </c>
    </row>
    <row r="59" spans="1:5">
      <c r="A59" s="49" t="s">
        <v>229</v>
      </c>
      <c r="B59" s="2"/>
      <c r="C59" s="117">
        <f>C58+C57</f>
        <v>0.74674010241187538</v>
      </c>
      <c r="D59" s="110">
        <f>D58+D57</f>
        <v>94089252903.896286</v>
      </c>
    </row>
    <row r="60" spans="1:5">
      <c r="A60" s="49" t="s">
        <v>139</v>
      </c>
      <c r="B60" s="49"/>
      <c r="C60" s="117">
        <f>100%-C59</f>
        <v>0.25325989758812462</v>
      </c>
      <c r="D60" s="110">
        <f>B49-D59</f>
        <v>31910747096.103714</v>
      </c>
    </row>
    <row r="62" spans="1:5">
      <c r="A62" s="107" t="s">
        <v>201</v>
      </c>
      <c r="B62" s="158" t="s">
        <v>274</v>
      </c>
      <c r="C62" s="159"/>
      <c r="D62" s="160"/>
      <c r="E62" s="107" t="s">
        <v>233</v>
      </c>
    </row>
    <row r="63" spans="1:5">
      <c r="A63" s="2" t="s">
        <v>202</v>
      </c>
      <c r="B63" s="181">
        <f>D8</f>
        <v>126000000000</v>
      </c>
      <c r="C63" s="182"/>
      <c r="D63" s="183"/>
      <c r="E63" s="8">
        <f>B63+B49+B35</f>
        <v>339500000000</v>
      </c>
    </row>
    <row r="64" spans="1:5">
      <c r="A64" s="111" t="s">
        <v>228</v>
      </c>
      <c r="B64" s="123" t="str">
        <f>B50</f>
        <v>Incidencia Mtr² Const.</v>
      </c>
      <c r="C64" s="122" t="str">
        <f>C50</f>
        <v>Incidencia Mtr² Ventas</v>
      </c>
      <c r="D64" s="113">
        <f>D73/B7</f>
        <v>2613590.3584415633</v>
      </c>
      <c r="E64" s="125"/>
    </row>
    <row r="65" spans="1:5">
      <c r="A65" s="2" t="s">
        <v>224</v>
      </c>
      <c r="B65" s="115">
        <f t="shared" ref="B65:B70" si="16">D65/$D$57</f>
        <v>0.30096041384602551</v>
      </c>
      <c r="C65" s="115">
        <f t="shared" ref="C65:C70" si="17">D65/$B$49</f>
        <v>0.20130773556281503</v>
      </c>
      <c r="D65" s="5">
        <f>(C22/B16)*B15</f>
        <v>25364774680.914696</v>
      </c>
      <c r="E65" s="8">
        <f t="shared" ref="E65:E74" si="18">D65+D51+D37</f>
        <v>68343976223.575706</v>
      </c>
    </row>
    <row r="66" spans="1:5">
      <c r="A66" s="2" t="s">
        <v>204</v>
      </c>
      <c r="B66" s="115">
        <f t="shared" si="16"/>
        <v>0.61034074491951962</v>
      </c>
      <c r="C66" s="115">
        <f t="shared" si="17"/>
        <v>0.40824742268041236</v>
      </c>
      <c r="D66" s="5">
        <f>(C23/B16)*B15</f>
        <v>51439175257.731956</v>
      </c>
      <c r="E66" s="8">
        <f t="shared" si="18"/>
        <v>138600000000</v>
      </c>
    </row>
    <row r="67" spans="1:5">
      <c r="A67" s="2" t="s">
        <v>208</v>
      </c>
      <c r="B67" s="115">
        <f t="shared" si="16"/>
        <v>2.7368375823730302E-3</v>
      </c>
      <c r="C67" s="115">
        <f t="shared" si="17"/>
        <v>1.8306280526069251E-3</v>
      </c>
      <c r="D67" s="5">
        <f>(C24/B16)*B15</f>
        <v>230659134.62847257</v>
      </c>
      <c r="E67" s="8">
        <f t="shared" si="18"/>
        <v>621498223.86005104</v>
      </c>
    </row>
    <row r="68" spans="1:5">
      <c r="A68" s="2" t="s">
        <v>205</v>
      </c>
      <c r="B68" s="115">
        <f t="shared" si="16"/>
        <v>2.3630347757311921E-2</v>
      </c>
      <c r="C68" s="115">
        <f t="shared" si="17"/>
        <v>1.5805971744908699E-2</v>
      </c>
      <c r="D68" s="5">
        <f>(C25/B16)*B15</f>
        <v>1991552439.858496</v>
      </c>
      <c r="E68" s="8">
        <f t="shared" si="18"/>
        <v>5366127407.3965034</v>
      </c>
    </row>
    <row r="69" spans="1:5">
      <c r="A69" s="2" t="s">
        <v>206</v>
      </c>
      <c r="B69" s="115">
        <f t="shared" si="16"/>
        <v>2.8548910190077971E-2</v>
      </c>
      <c r="C69" s="115">
        <f t="shared" si="17"/>
        <v>1.9095921585524721E-2</v>
      </c>
      <c r="D69" s="5">
        <f>(C26/B16)*B15</f>
        <v>2406086119.7761149</v>
      </c>
      <c r="E69" s="8">
        <f t="shared" si="18"/>
        <v>6483065378.2856426</v>
      </c>
    </row>
    <row r="70" spans="1:5">
      <c r="A70" s="2" t="s">
        <v>207</v>
      </c>
      <c r="B70" s="115">
        <f t="shared" si="16"/>
        <v>3.3782745704692002E-2</v>
      </c>
      <c r="C70" s="115">
        <f t="shared" si="17"/>
        <v>2.2596752682514872E-2</v>
      </c>
      <c r="D70" s="5">
        <f>(C27/B16)*B15</f>
        <v>2847190837.9968739</v>
      </c>
      <c r="E70" s="8">
        <f t="shared" si="18"/>
        <v>7671597535.7137985</v>
      </c>
    </row>
    <row r="71" spans="1:5">
      <c r="A71" s="108" t="s">
        <v>232</v>
      </c>
      <c r="B71" s="2"/>
      <c r="C71" s="116">
        <f>SUM(C65:C70)</f>
        <v>0.66888443230878258</v>
      </c>
      <c r="D71" s="109">
        <f>SUM(D65:D70)</f>
        <v>84279438470.906601</v>
      </c>
      <c r="E71" s="126">
        <f t="shared" si="18"/>
        <v>227086264768.83167</v>
      </c>
    </row>
    <row r="72" spans="1:5">
      <c r="A72" s="2" t="s">
        <v>203</v>
      </c>
      <c r="B72" s="2"/>
      <c r="C72" s="115">
        <f>D72/B63</f>
        <v>7.7855670103092786E-2</v>
      </c>
      <c r="D72" s="5">
        <f>(C29/B16)*B15</f>
        <v>9809814432.9896908</v>
      </c>
      <c r="E72" s="8">
        <f t="shared" si="18"/>
        <v>26432000000</v>
      </c>
    </row>
    <row r="73" spans="1:5">
      <c r="A73" s="49" t="s">
        <v>229</v>
      </c>
      <c r="B73" s="2"/>
      <c r="C73" s="117">
        <f>C72+C71</f>
        <v>0.74674010241187538</v>
      </c>
      <c r="D73" s="110">
        <f>D72+D71</f>
        <v>94089252903.896286</v>
      </c>
      <c r="E73" s="126">
        <f t="shared" si="18"/>
        <v>253518264768.83167</v>
      </c>
    </row>
    <row r="74" spans="1:5">
      <c r="A74" s="49" t="s">
        <v>139</v>
      </c>
      <c r="B74" s="49"/>
      <c r="C74" s="117">
        <f>100%-C73</f>
        <v>0.25325989758812462</v>
      </c>
      <c r="D74" s="110">
        <f>B63-D73</f>
        <v>31910747096.103714</v>
      </c>
      <c r="E74" s="126">
        <f t="shared" si="18"/>
        <v>85981735231.168335</v>
      </c>
    </row>
    <row r="76" spans="1:5">
      <c r="A76" s="166" t="s">
        <v>234</v>
      </c>
      <c r="B76" s="166"/>
      <c r="C76" s="166"/>
      <c r="D76" s="166"/>
      <c r="E76" s="107" t="s">
        <v>235</v>
      </c>
    </row>
    <row r="77" spans="1:5">
      <c r="A77" s="180">
        <f>B21</f>
        <v>29000000000</v>
      </c>
      <c r="B77" s="180"/>
      <c r="C77" s="180"/>
      <c r="D77" s="180"/>
      <c r="E77" s="126">
        <f>A77+E63</f>
        <v>368500000000</v>
      </c>
    </row>
    <row r="78" spans="1:5">
      <c r="A78" s="49" t="str">
        <f>A36</f>
        <v>COSTOS DESARROLLO INMOBILIARIO</v>
      </c>
      <c r="B78" s="126" t="str">
        <f>B64</f>
        <v>Incidencia Mtr² Const.</v>
      </c>
      <c r="C78" s="49" t="str">
        <f>C64</f>
        <v>Incidencia Mtr² Ventas</v>
      </c>
      <c r="D78" s="8">
        <f>D87/('DATOS GENERALES'!C90+'DATOS GENERALES'!B91)</f>
        <v>2335900.0952698742</v>
      </c>
      <c r="E78" s="125"/>
    </row>
    <row r="79" spans="1:5">
      <c r="A79" s="2" t="s">
        <v>224</v>
      </c>
      <c r="B79" s="32">
        <f t="shared" ref="B79:B84" si="19">D79/$D$85</f>
        <v>0.30754291663601635</v>
      </c>
      <c r="C79" s="32">
        <f t="shared" ref="C79:C84" si="20">D79/$A$77</f>
        <v>0.24235021785644065</v>
      </c>
      <c r="D79" s="127">
        <f t="shared" ref="D79:D84" si="21">B22</f>
        <v>7028156317.8367786</v>
      </c>
      <c r="E79" s="77">
        <f t="shared" ref="E79:E88" si="22">D79+E65</f>
        <v>75372132541.412491</v>
      </c>
    </row>
    <row r="80" spans="1:5">
      <c r="A80" s="2" t="s">
        <v>204</v>
      </c>
      <c r="B80" s="32">
        <f t="shared" si="19"/>
        <v>0.61109011191485441</v>
      </c>
      <c r="C80" s="32">
        <f t="shared" si="20"/>
        <v>0.48155172413793101</v>
      </c>
      <c r="D80" s="127">
        <f t="shared" si="21"/>
        <v>13965000000</v>
      </c>
      <c r="E80" s="77">
        <f t="shared" si="22"/>
        <v>152565000000</v>
      </c>
    </row>
    <row r="81" spans="1:6">
      <c r="A81" s="2" t="s">
        <v>208</v>
      </c>
      <c r="B81" s="32">
        <f t="shared" si="19"/>
        <v>5.7134208333794428E-2</v>
      </c>
      <c r="C81" s="32">
        <f t="shared" si="20"/>
        <v>4.5022945051724154E-2</v>
      </c>
      <c r="D81" s="127">
        <f t="shared" si="21"/>
        <v>1305665406.5000005</v>
      </c>
      <c r="E81" s="77">
        <f t="shared" si="22"/>
        <v>1927163630.3600516</v>
      </c>
    </row>
    <row r="82" spans="1:6">
      <c r="A82" s="2" t="s">
        <v>205</v>
      </c>
      <c r="B82" s="32">
        <f t="shared" si="19"/>
        <v>0</v>
      </c>
      <c r="C82" s="32">
        <f t="shared" si="20"/>
        <v>0</v>
      </c>
      <c r="D82" s="127">
        <f t="shared" si="21"/>
        <v>0</v>
      </c>
      <c r="E82" s="77">
        <f t="shared" si="22"/>
        <v>5366127407.3965034</v>
      </c>
    </row>
    <row r="83" spans="1:6">
      <c r="A83" s="2" t="s">
        <v>34</v>
      </c>
      <c r="B83" s="32">
        <f t="shared" si="19"/>
        <v>2.4232763115334906E-2</v>
      </c>
      <c r="C83" s="32">
        <f t="shared" si="20"/>
        <v>1.9095921585524721E-2</v>
      </c>
      <c r="D83" s="127">
        <f t="shared" si="21"/>
        <v>553781725.98021686</v>
      </c>
      <c r="E83" s="77">
        <f t="shared" si="22"/>
        <v>7036847104.2658596</v>
      </c>
    </row>
    <row r="84" spans="1:6">
      <c r="A84" s="2" t="s">
        <v>207</v>
      </c>
      <c r="B84" s="32">
        <f t="shared" si="19"/>
        <v>0</v>
      </c>
      <c r="C84" s="32">
        <f t="shared" si="20"/>
        <v>0</v>
      </c>
      <c r="D84" s="127">
        <f t="shared" si="21"/>
        <v>0</v>
      </c>
      <c r="E84" s="77">
        <f t="shared" si="22"/>
        <v>7671597535.7137985</v>
      </c>
    </row>
    <row r="85" spans="1:6">
      <c r="A85" s="108" t="s">
        <v>232</v>
      </c>
      <c r="B85" s="108"/>
      <c r="C85" s="128">
        <f>SUM(C79:C84)</f>
        <v>0.7880208086316205</v>
      </c>
      <c r="D85" s="127">
        <f>SUM(D79:D84)</f>
        <v>22852603450.316994</v>
      </c>
      <c r="E85" s="109">
        <f t="shared" si="22"/>
        <v>249938868219.14865</v>
      </c>
    </row>
    <row r="86" spans="1:6">
      <c r="A86" s="2" t="s">
        <v>203</v>
      </c>
      <c r="B86" s="2"/>
      <c r="C86" s="32">
        <f>D86/$A$77</f>
        <v>1.5448275862068966E-2</v>
      </c>
      <c r="D86" s="8">
        <f>B29</f>
        <v>448000000</v>
      </c>
      <c r="E86" s="77">
        <f t="shared" si="22"/>
        <v>26880000000</v>
      </c>
    </row>
    <row r="87" spans="1:6">
      <c r="A87" s="49" t="s">
        <v>229</v>
      </c>
      <c r="B87" s="49"/>
      <c r="C87" s="129">
        <f>C86+C85</f>
        <v>0.80346908449368948</v>
      </c>
      <c r="D87" s="126">
        <f>D86+D85</f>
        <v>23300603450.316994</v>
      </c>
      <c r="E87" s="126">
        <f t="shared" si="22"/>
        <v>276818868219.14868</v>
      </c>
      <c r="F87" s="3"/>
    </row>
    <row r="88" spans="1:6">
      <c r="A88" s="49" t="s">
        <v>139</v>
      </c>
      <c r="B88" s="49"/>
      <c r="C88" s="130">
        <f>100%-C87</f>
        <v>0.19653091550631052</v>
      </c>
      <c r="D88" s="126">
        <f>A77-D87</f>
        <v>5699396549.6830063</v>
      </c>
      <c r="E88" s="126">
        <f t="shared" si="22"/>
        <v>91681131780.851349</v>
      </c>
    </row>
  </sheetData>
  <mergeCells count="9">
    <mergeCell ref="A31:A32"/>
    <mergeCell ref="A76:D76"/>
    <mergeCell ref="A77:D77"/>
    <mergeCell ref="B34:D34"/>
    <mergeCell ref="B35:D35"/>
    <mergeCell ref="B48:D48"/>
    <mergeCell ref="B49:D49"/>
    <mergeCell ref="B62:D62"/>
    <mergeCell ref="B63:D6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4"/>
  <sheetViews>
    <sheetView zoomScaleNormal="100" workbookViewId="0">
      <selection activeCell="A3" sqref="A3"/>
    </sheetView>
  </sheetViews>
  <sheetFormatPr baseColWidth="10" defaultRowHeight="15"/>
  <cols>
    <col min="1" max="1" width="50.140625" bestFit="1" customWidth="1"/>
    <col min="2" max="2" width="19.7109375" customWidth="1"/>
    <col min="3" max="3" width="18.42578125" customWidth="1"/>
    <col min="4" max="5" width="19" customWidth="1"/>
    <col min="6" max="6" width="19.7109375" customWidth="1"/>
    <col min="7" max="7" width="19" customWidth="1"/>
    <col min="8" max="10" width="19.7109375" customWidth="1"/>
    <col min="11" max="11" width="19" customWidth="1"/>
    <col min="12" max="12" width="17.7109375" customWidth="1"/>
    <col min="13" max="13" width="18.7109375" customWidth="1"/>
    <col min="14" max="14" width="18.28515625" customWidth="1"/>
    <col min="15" max="15" width="20.140625" customWidth="1"/>
    <col min="16" max="16" width="20.42578125" bestFit="1" customWidth="1"/>
    <col min="17" max="17" width="21" bestFit="1" customWidth="1"/>
    <col min="19" max="19" width="12" bestFit="1" customWidth="1"/>
  </cols>
  <sheetData>
    <row r="1" spans="1:12" ht="21">
      <c r="A1" s="185" t="s">
        <v>74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</row>
    <row r="2" spans="1:12" ht="18.75">
      <c r="A2" s="184" t="s">
        <v>281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>
      <c r="A3" t="s">
        <v>73</v>
      </c>
      <c r="B3" s="19" t="s">
        <v>133</v>
      </c>
      <c r="C3" s="19" t="s">
        <v>17</v>
      </c>
      <c r="D3" s="19" t="s">
        <v>18</v>
      </c>
      <c r="E3" s="19" t="s">
        <v>20</v>
      </c>
      <c r="F3" s="19" t="s">
        <v>21</v>
      </c>
      <c r="G3" s="19" t="s">
        <v>22</v>
      </c>
      <c r="H3" s="19" t="s">
        <v>23</v>
      </c>
      <c r="I3" s="19" t="s">
        <v>24</v>
      </c>
      <c r="J3" s="19" t="s">
        <v>25</v>
      </c>
      <c r="K3" s="19" t="s">
        <v>26</v>
      </c>
      <c r="L3" s="19" t="s">
        <v>27</v>
      </c>
    </row>
    <row r="4" spans="1:12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A6" s="7" t="s">
        <v>3</v>
      </c>
      <c r="B6" s="2"/>
      <c r="C6" s="8">
        <f>B40</f>
        <v>757801776.1399498</v>
      </c>
      <c r="D6" s="8">
        <f t="shared" ref="D6:L6" si="0">C40</f>
        <v>464271739.96033478</v>
      </c>
      <c r="E6" s="8">
        <f t="shared" si="0"/>
        <v>40649642.074279785</v>
      </c>
      <c r="F6" s="8">
        <f t="shared" si="0"/>
        <v>663805282.48178101</v>
      </c>
      <c r="G6" s="8">
        <f t="shared" si="0"/>
        <v>15089986564.682846</v>
      </c>
      <c r="H6" s="8">
        <f t="shared" si="0"/>
        <v>35152864765.157692</v>
      </c>
      <c r="I6" s="8">
        <f t="shared" si="0"/>
        <v>49707645513.34552</v>
      </c>
      <c r="J6" s="8">
        <f t="shared" si="0"/>
        <v>61909058270.338387</v>
      </c>
      <c r="K6" s="8">
        <f t="shared" si="0"/>
        <v>66170441744.143478</v>
      </c>
      <c r="L6" s="8">
        <f t="shared" si="0"/>
        <v>72010766733.062515</v>
      </c>
    </row>
    <row r="7" spans="1:12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A8" s="20" t="s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>
      <c r="A9" s="7" t="s">
        <v>131</v>
      </c>
      <c r="B9" s="5">
        <f>+'DATOS GENERALES'!$I$14*'DATOS GENERALES'!B36</f>
        <v>0</v>
      </c>
      <c r="C9" s="5">
        <f>+'DATOS GENERALES'!$I$14*'DATOS GENERALES'!C36</f>
        <v>3500000000</v>
      </c>
      <c r="D9" s="5">
        <f>+'DATOS GENERALES'!$I$14*'DATOS GENERALES'!D36</f>
        <v>7000000000</v>
      </c>
      <c r="E9" s="5">
        <f>+'DATOS GENERALES'!$I$14*'DATOS GENERALES'!E36</f>
        <v>10500000000</v>
      </c>
      <c r="F9" s="5">
        <f>+'DATOS GENERALES'!$I$14*'DATOS GENERALES'!F36</f>
        <v>14000000000</v>
      </c>
      <c r="G9" s="5">
        <f>+'DATOS GENERALES'!$I$14*'DATOS GENERALES'!G36</f>
        <v>17500000000</v>
      </c>
      <c r="H9" s="5">
        <f>+'DATOS GENERALES'!$I$14*'DATOS GENERALES'!H36</f>
        <v>14000000000</v>
      </c>
      <c r="I9" s="5">
        <f>+'DATOS GENERALES'!$I$14*'DATOS GENERALES'!I36</f>
        <v>10500000000</v>
      </c>
      <c r="J9" s="5">
        <f>+'DATOS GENERALES'!$I$14*'DATOS GENERALES'!J36</f>
        <v>7000000000</v>
      </c>
      <c r="K9" s="5">
        <f>+'DATOS GENERALES'!$I$14*'DATOS GENERALES'!K36</f>
        <v>3500000000</v>
      </c>
      <c r="L9" s="5">
        <f>+'DATOS GENERALES'!$I$14*'DATOS GENERALES'!L36</f>
        <v>0</v>
      </c>
    </row>
    <row r="10" spans="1:12">
      <c r="A10" s="7" t="s">
        <v>132</v>
      </c>
      <c r="B10" s="5">
        <f>+'DATOS GENERALES'!$I$15*'DATOS GENERALES'!B37</f>
        <v>0</v>
      </c>
      <c r="C10" s="5">
        <f>+'DATOS GENERALES'!$I$15*'DATOS GENERALES'!C37</f>
        <v>7560000000</v>
      </c>
      <c r="D10" s="5">
        <f>+'DATOS GENERALES'!$I$15*'DATOS GENERALES'!D37</f>
        <v>10080000000</v>
      </c>
      <c r="E10" s="5">
        <f>+'DATOS GENERALES'!$I$15*'DATOS GENERALES'!E37</f>
        <v>12600000000</v>
      </c>
      <c r="F10" s="5">
        <f>+'DATOS GENERALES'!$I$15*'DATOS GENERALES'!F37</f>
        <v>15120000000</v>
      </c>
      <c r="G10" s="5">
        <f>+'DATOS GENERALES'!$I$15*'DATOS GENERALES'!G37</f>
        <v>17640000000</v>
      </c>
      <c r="H10" s="5">
        <f>+'DATOS GENERALES'!$I$15*'DATOS GENERALES'!H37</f>
        <v>17640000000</v>
      </c>
      <c r="I10" s="5">
        <f>+'DATOS GENERALES'!$I$15*'DATOS GENERALES'!I37</f>
        <v>15120000000</v>
      </c>
      <c r="J10" s="5">
        <f>+'DATOS GENERALES'!$I$15*'DATOS GENERALES'!J37</f>
        <v>12600000000</v>
      </c>
      <c r="K10" s="5">
        <f>+'DATOS GENERALES'!$I$15*'DATOS GENERALES'!K37</f>
        <v>10080000000</v>
      </c>
      <c r="L10" s="5">
        <f>+'DATOS GENERALES'!$I$15*'DATOS GENERALES'!L37</f>
        <v>7560000000</v>
      </c>
    </row>
    <row r="11" spans="1:12">
      <c r="A11" s="7" t="s">
        <v>238</v>
      </c>
      <c r="B11" s="5">
        <f>+'DATOS GENERALES'!$I$16*'DATOS GENERALES'!B38</f>
        <v>0</v>
      </c>
      <c r="C11" s="5">
        <f>+'DATOS GENERALES'!$I$16*'DATOS GENERALES'!C38</f>
        <v>7560000000</v>
      </c>
      <c r="D11" s="5">
        <f>+'DATOS GENERALES'!$I$16*'DATOS GENERALES'!D38</f>
        <v>10080000000</v>
      </c>
      <c r="E11" s="5">
        <f>+'DATOS GENERALES'!$I$16*'DATOS GENERALES'!E38</f>
        <v>12600000000</v>
      </c>
      <c r="F11" s="5">
        <f>+'DATOS GENERALES'!$I$16*'DATOS GENERALES'!F38</f>
        <v>15120000000</v>
      </c>
      <c r="G11" s="5">
        <f>+'DATOS GENERALES'!$I$16*'DATOS GENERALES'!G38</f>
        <v>17640000000</v>
      </c>
      <c r="H11" s="5">
        <f>+'DATOS GENERALES'!$I$16*'DATOS GENERALES'!H38</f>
        <v>17640000000</v>
      </c>
      <c r="I11" s="5">
        <f>+'DATOS GENERALES'!$I$16*'DATOS GENERALES'!I38</f>
        <v>15120000000</v>
      </c>
      <c r="J11" s="5">
        <f>+'DATOS GENERALES'!$I$16*'DATOS GENERALES'!J38</f>
        <v>12600000000</v>
      </c>
      <c r="K11" s="5">
        <f>+'DATOS GENERALES'!$I$16*'DATOS GENERALES'!K38</f>
        <v>10080000000</v>
      </c>
      <c r="L11" s="5">
        <f>+'DATOS GENERALES'!$I$16*'DATOS GENERALES'!L38</f>
        <v>7560000000</v>
      </c>
    </row>
    <row r="12" spans="1:12">
      <c r="A12" s="7" t="s">
        <v>239</v>
      </c>
      <c r="B12" s="5"/>
      <c r="C12" s="5"/>
      <c r="D12" s="5"/>
      <c r="E12" s="5"/>
      <c r="F12" s="5"/>
      <c r="G12" s="5">
        <f>'ESTRUCTURA FINANCIERA'!$B$21/3</f>
        <v>9666666666.666666</v>
      </c>
      <c r="H12" s="5">
        <f>'ESTRUCTURA FINANCIERA'!$B$21/3</f>
        <v>9666666666.666666</v>
      </c>
      <c r="I12" s="5">
        <f>'ESTRUCTURA FINANCIERA'!$B$21/3</f>
        <v>9666666666.666666</v>
      </c>
      <c r="J12" s="5"/>
      <c r="K12" s="5"/>
      <c r="L12" s="5"/>
    </row>
    <row r="13" spans="1:12">
      <c r="A13" s="7" t="s">
        <v>5</v>
      </c>
      <c r="B13" s="5">
        <v>12500000000</v>
      </c>
      <c r="C13" s="5">
        <v>6000000000</v>
      </c>
      <c r="D13" s="5"/>
      <c r="E13" s="8"/>
      <c r="F13" s="8"/>
      <c r="G13" s="8"/>
      <c r="H13" s="8"/>
      <c r="I13" s="8"/>
      <c r="J13" s="8"/>
      <c r="K13" s="8"/>
      <c r="L13" s="8"/>
    </row>
    <row r="14" spans="1:12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20" t="s">
        <v>6</v>
      </c>
      <c r="B15" s="21">
        <f t="shared" ref="B15:L15" si="1">SUM(B9:B13)+B6</f>
        <v>12500000000</v>
      </c>
      <c r="C15" s="21">
        <f t="shared" si="1"/>
        <v>25377801776.13995</v>
      </c>
      <c r="D15" s="21">
        <f t="shared" si="1"/>
        <v>27624271739.960335</v>
      </c>
      <c r="E15" s="21">
        <f t="shared" si="1"/>
        <v>35740649642.07428</v>
      </c>
      <c r="F15" s="21">
        <f t="shared" si="1"/>
        <v>44903805282.481781</v>
      </c>
      <c r="G15" s="21">
        <f t="shared" si="1"/>
        <v>77536653231.349518</v>
      </c>
      <c r="H15" s="21">
        <f t="shared" si="1"/>
        <v>94099531431.824356</v>
      </c>
      <c r="I15" s="21">
        <f t="shared" si="1"/>
        <v>100114312180.01218</v>
      </c>
      <c r="J15" s="21">
        <f t="shared" si="1"/>
        <v>94109058270.338379</v>
      </c>
      <c r="K15" s="21">
        <f t="shared" si="1"/>
        <v>89830441744.143478</v>
      </c>
      <c r="L15" s="21">
        <f t="shared" si="1"/>
        <v>87130766733.062515</v>
      </c>
    </row>
    <row r="16" spans="1:12">
      <c r="A16" s="7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4">
      <c r="A17" s="20" t="s">
        <v>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4">
      <c r="A18" s="7" t="s">
        <v>8</v>
      </c>
      <c r="B18" s="5">
        <f>+'DATOS GENERALES'!C73</f>
        <v>500000000</v>
      </c>
      <c r="C18" s="2"/>
      <c r="D18" s="8"/>
      <c r="E18" s="2"/>
      <c r="F18" s="2"/>
      <c r="G18" s="2"/>
      <c r="H18" s="2"/>
      <c r="I18" s="2"/>
      <c r="J18" s="2"/>
      <c r="K18" s="2"/>
      <c r="L18" s="2"/>
      <c r="M18" s="3"/>
      <c r="N18" s="3"/>
    </row>
    <row r="19" spans="1:14">
      <c r="A19" s="7" t="s">
        <v>9</v>
      </c>
      <c r="B19" s="5">
        <f>'DATOS GENERALES'!K72</f>
        <v>366698223.86005104</v>
      </c>
      <c r="C19" s="2"/>
      <c r="D19" s="2"/>
      <c r="E19" s="2"/>
      <c r="F19" s="5">
        <f>'DATOS GENERALES'!H114</f>
        <v>1305665406.5000005</v>
      </c>
      <c r="G19" s="2"/>
      <c r="H19" s="2"/>
      <c r="I19" s="2"/>
      <c r="J19" s="2"/>
      <c r="K19" s="2"/>
      <c r="L19" s="2"/>
      <c r="M19" s="3"/>
    </row>
    <row r="20" spans="1:14">
      <c r="A20" s="7" t="s">
        <v>10</v>
      </c>
      <c r="B20" s="5">
        <f>+'DATOS GENERALES'!$B$57/4</f>
        <v>6720000000</v>
      </c>
      <c r="C20" s="5">
        <f>+'DATOS GENERALES'!$B$57/4</f>
        <v>6720000000</v>
      </c>
      <c r="D20" s="5">
        <f>+'DATOS GENERALES'!$B$57/4</f>
        <v>6720000000</v>
      </c>
      <c r="E20" s="5">
        <f>+'DATOS GENERALES'!$B$57/4</f>
        <v>6720000000</v>
      </c>
      <c r="F20" s="2"/>
      <c r="G20" s="2"/>
      <c r="H20" s="2"/>
      <c r="I20" s="2"/>
      <c r="J20" s="2"/>
      <c r="K20" s="2"/>
      <c r="L20" s="2"/>
      <c r="M20" s="3"/>
    </row>
    <row r="21" spans="1:14">
      <c r="A21" s="10" t="s">
        <v>225</v>
      </c>
      <c r="B21" s="5">
        <f>+'DATOS GENERALES'!B32*'DATOS GENERALES'!$H$14</f>
        <v>0</v>
      </c>
      <c r="C21" s="5">
        <f>+'DATOS GENERALES'!C32*'DATOS GENERALES'!$H$14</f>
        <v>2104577074.4698522</v>
      </c>
      <c r="D21" s="5">
        <f>+'DATOS GENERALES'!D32*'DATOS GENERALES'!$H$14</f>
        <v>4209154148.9397044</v>
      </c>
      <c r="E21" s="5">
        <f>+'DATOS GENERALES'!E32*'DATOS GENERALES'!$H$14</f>
        <v>6313731223.4095564</v>
      </c>
      <c r="F21" s="5">
        <f>+'DATOS GENERALES'!F32*'DATOS GENERALES'!$H$14</f>
        <v>8418308297.8794088</v>
      </c>
      <c r="G21" s="5">
        <f>+'DATOS GENERALES'!G32*'DATOS GENERALES'!$H$14</f>
        <v>10522885372.34926</v>
      </c>
      <c r="H21" s="5">
        <f>+'DATOS GENERALES'!H32*'DATOS GENERALES'!$H$14</f>
        <v>8418308297.8794088</v>
      </c>
      <c r="I21" s="5">
        <f>+'DATOS GENERALES'!I32*'DATOS GENERALES'!$H$14</f>
        <v>6313731223.4095564</v>
      </c>
      <c r="J21" s="5">
        <f>+'DATOS GENERALES'!J32*'DATOS GENERALES'!$H$14</f>
        <v>4209154148.9397044</v>
      </c>
      <c r="K21" s="5">
        <f>+'DATOS GENERALES'!K32*'DATOS GENERALES'!$H$14</f>
        <v>2104577074.4698522</v>
      </c>
      <c r="L21" s="5">
        <f>+'DATOS GENERALES'!L32*'DATOS GENERALES'!$H$14</f>
        <v>0</v>
      </c>
      <c r="M21" s="3"/>
    </row>
    <row r="22" spans="1:14">
      <c r="A22" s="10" t="s">
        <v>226</v>
      </c>
      <c r="B22" s="5">
        <f>+'DATOS GENERALES'!B33*'DATOS GENERALES'!$H$15</f>
        <v>0</v>
      </c>
      <c r="C22" s="5">
        <f>+'DATOS GENERALES'!C33*'DATOS GENERALES'!$H$15</f>
        <v>4545886480.8548803</v>
      </c>
      <c r="D22" s="5">
        <f>+'DATOS GENERALES'!D33*'DATOS GENERALES'!$H$15</f>
        <v>6061181974.4731741</v>
      </c>
      <c r="E22" s="5">
        <f>+'DATOS GENERALES'!E33*'DATOS GENERALES'!$H$15</f>
        <v>7576477468.0914679</v>
      </c>
      <c r="F22" s="5">
        <f>+'DATOS GENERALES'!F33*'DATOS GENERALES'!$H$15</f>
        <v>9091772961.7097607</v>
      </c>
      <c r="G22" s="5">
        <f>+'DATOS GENERALES'!G33*'DATOS GENERALES'!$H$15</f>
        <v>10607068455.328054</v>
      </c>
      <c r="H22" s="5">
        <f>+'DATOS GENERALES'!H33*'DATOS GENERALES'!$H$15</f>
        <v>10607068455.328054</v>
      </c>
      <c r="I22" s="5">
        <f>+'DATOS GENERALES'!I33*'DATOS GENERALES'!$H$15</f>
        <v>9091772961.7097607</v>
      </c>
      <c r="J22" s="5">
        <f>+'DATOS GENERALES'!J33*'DATOS GENERALES'!$H$15</f>
        <v>7576477468.0914679</v>
      </c>
      <c r="K22" s="5">
        <f>+'DATOS GENERALES'!K33*'DATOS GENERALES'!$H$15</f>
        <v>6061181974.4731741</v>
      </c>
      <c r="L22" s="5">
        <f>+'DATOS GENERALES'!L33*'DATOS GENERALES'!$H$15</f>
        <v>4545886480.8548803</v>
      </c>
      <c r="M22" s="3"/>
    </row>
    <row r="23" spans="1:14">
      <c r="A23" s="10" t="s">
        <v>227</v>
      </c>
      <c r="B23" s="5">
        <f>+'DATOS GENERALES'!B34*'DATOS GENERALES'!$H$16</f>
        <v>0</v>
      </c>
      <c r="C23" s="5">
        <f>+'DATOS GENERALES'!C34*'DATOS GENERALES'!$H$16</f>
        <v>4545886480.8548803</v>
      </c>
      <c r="D23" s="5">
        <f>+'DATOS GENERALES'!D34*'DATOS GENERALES'!$H$16</f>
        <v>6061181974.4731741</v>
      </c>
      <c r="E23" s="5">
        <f>+'DATOS GENERALES'!E34*'DATOS GENERALES'!$H$16</f>
        <v>7576477468.0914679</v>
      </c>
      <c r="F23" s="5">
        <f>+'DATOS GENERALES'!F34*'DATOS GENERALES'!$H$16</f>
        <v>9091772961.7097607</v>
      </c>
      <c r="G23" s="5">
        <f>+'DATOS GENERALES'!G34*'DATOS GENERALES'!$H$16</f>
        <v>10607068455.328054</v>
      </c>
      <c r="H23" s="5">
        <f>+'DATOS GENERALES'!H34*'DATOS GENERALES'!$H$16</f>
        <v>10607068455.328054</v>
      </c>
      <c r="I23" s="5">
        <f>+'DATOS GENERALES'!I34*'DATOS GENERALES'!$H$16</f>
        <v>9091772961.7097607</v>
      </c>
      <c r="J23" s="5">
        <f>+'DATOS GENERALES'!J34*'DATOS GENERALES'!$H$16</f>
        <v>7576477468.0914679</v>
      </c>
      <c r="K23" s="5">
        <f>+'DATOS GENERALES'!K34*'DATOS GENERALES'!$H$16</f>
        <v>6061181974.4731741</v>
      </c>
      <c r="L23" s="5">
        <f>+'DATOS GENERALES'!L34*'DATOS GENERALES'!$H$16</f>
        <v>4545886480.8548803</v>
      </c>
      <c r="M23" s="3"/>
    </row>
    <row r="24" spans="1:14">
      <c r="A24" s="29" t="s">
        <v>236</v>
      </c>
      <c r="B24" s="5"/>
      <c r="C24" s="5"/>
      <c r="D24" s="5"/>
      <c r="E24" s="5"/>
      <c r="F24" s="5"/>
      <c r="G24" s="5"/>
      <c r="H24" s="5">
        <f>SUM('ESTRUCTURA FINANCIERA'!D79:D80)/3</f>
        <v>6997718772.6122589</v>
      </c>
      <c r="I24" s="5">
        <f>H24</f>
        <v>6997718772.6122589</v>
      </c>
      <c r="J24" s="5">
        <f>I24</f>
        <v>6997718772.6122589</v>
      </c>
      <c r="K24" s="5"/>
      <c r="L24" s="5"/>
      <c r="M24" s="3"/>
    </row>
    <row r="25" spans="1:14">
      <c r="A25" s="141" t="s">
        <v>266</v>
      </c>
      <c r="B25" s="5"/>
      <c r="C25" s="5">
        <f>+'DATOS GENERALES'!E124</f>
        <v>254800000.00000003</v>
      </c>
      <c r="D25" s="5"/>
      <c r="E25" s="5"/>
      <c r="F25" s="5"/>
      <c r="G25" s="5"/>
      <c r="H25" s="5"/>
      <c r="I25" s="5"/>
      <c r="J25" s="5"/>
      <c r="K25" s="5"/>
      <c r="L25" s="5"/>
      <c r="M25" s="3"/>
    </row>
    <row r="26" spans="1:14">
      <c r="A26" s="29" t="s">
        <v>265</v>
      </c>
      <c r="B26" s="5"/>
      <c r="C26" s="5"/>
      <c r="D26" s="5">
        <f>+'DATOS GENERALES'!B120</f>
        <v>2800000000</v>
      </c>
      <c r="E26" s="5"/>
      <c r="F26" s="5"/>
      <c r="G26" s="5"/>
      <c r="H26" s="5"/>
      <c r="I26" s="5"/>
      <c r="J26" s="5"/>
      <c r="K26" s="5"/>
      <c r="L26" s="5"/>
      <c r="M26" s="3"/>
    </row>
    <row r="27" spans="1:14">
      <c r="A27" s="29" t="s">
        <v>263</v>
      </c>
      <c r="B27" s="5">
        <f>+'DATOS GENERALES'!B137</f>
        <v>2000000000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3"/>
    </row>
    <row r="28" spans="1:14">
      <c r="A28" s="29" t="s">
        <v>264</v>
      </c>
      <c r="B28" s="5"/>
      <c r="C28" s="5">
        <f>+'DATOS GENERALES'!$B$136/2</f>
        <v>5100000000</v>
      </c>
      <c r="D28" s="5"/>
      <c r="E28" s="5">
        <f>+'DATOS GENERALES'!$B$136/2</f>
        <v>5100000000</v>
      </c>
      <c r="F28" s="5"/>
      <c r="G28" s="5"/>
      <c r="H28" s="5"/>
      <c r="I28" s="5"/>
      <c r="J28" s="5"/>
      <c r="K28" s="5"/>
      <c r="L28" s="5"/>
      <c r="M28" s="3"/>
    </row>
    <row r="29" spans="1:14">
      <c r="A29" s="29" t="s">
        <v>252</v>
      </c>
      <c r="B29" s="5"/>
      <c r="C29" s="5"/>
      <c r="D29" s="5">
        <f>+'DATOS GENERALES'!$B$129/2</f>
        <v>44400000</v>
      </c>
      <c r="E29" s="5">
        <f>+('DATOS GENERALES'!$B$129/2)*(1+'DATOS GENERALES'!$B$130)</f>
        <v>46176000</v>
      </c>
      <c r="F29" s="5">
        <f>+(E29*2)*(1+'DATOS GENERALES'!B130)</f>
        <v>96046080</v>
      </c>
      <c r="G29" s="5">
        <f>+F29*(1+'DATOS GENERALES'!$B$130)</f>
        <v>99887923.200000003</v>
      </c>
      <c r="H29" s="5">
        <f>+G29*(1+'DATOS GENERALES'!$B$130)</f>
        <v>103883440.12800001</v>
      </c>
      <c r="I29" s="5">
        <f>+H29*(1+'DATOS GENERALES'!$B$130)</f>
        <v>108038777.73312001</v>
      </c>
      <c r="J29" s="5">
        <f>+I29*(1+'DATOS GENERALES'!$B$130)</f>
        <v>112360328.84244481</v>
      </c>
      <c r="K29" s="5">
        <f>+J29*(1+'DATOS GENERALES'!$B$130)</f>
        <v>116854741.99614261</v>
      </c>
      <c r="L29" s="5">
        <f>+K29*(1+'DATOS GENERALES'!$B$130)</f>
        <v>121528931.67598832</v>
      </c>
      <c r="M29" s="3"/>
    </row>
    <row r="30" spans="1:14">
      <c r="A30" s="7" t="s">
        <v>11</v>
      </c>
      <c r="B30" s="13">
        <f>+'DATOS GENERALES'!B66</f>
        <v>1118000000</v>
      </c>
      <c r="C30" s="5">
        <f>+B30*(1-'DATOS GENERALES'!$B$67)</f>
        <v>1006200000</v>
      </c>
      <c r="D30" s="5">
        <f>+C30*(1-'DATOS GENERALES'!$B$67)</f>
        <v>905580000</v>
      </c>
      <c r="E30" s="5">
        <f>+D30*(1-'DATOS GENERALES'!$B$67)</f>
        <v>815022000</v>
      </c>
      <c r="F30" s="5">
        <f>+E30*(1-'DATOS GENERALES'!$B$67)</f>
        <v>733519800</v>
      </c>
      <c r="G30" s="5">
        <f>+F30*(1-'DATOS GENERALES'!$B$67)</f>
        <v>660167820</v>
      </c>
      <c r="H30" s="5">
        <f>+G30*(1-'DATOS GENERALES'!$B$67)</f>
        <v>594151038</v>
      </c>
      <c r="I30" s="5">
        <f>+H30*(1-'DATOS GENERALES'!$B$67)</f>
        <v>534735934.19999999</v>
      </c>
      <c r="J30" s="5">
        <f>+I30*(1-'DATOS GENERALES'!$B$67)</f>
        <v>481262340.77999997</v>
      </c>
      <c r="K30" s="5">
        <f>+J30*(1-'DATOS GENERALES'!$B$67)</f>
        <v>433136106.70199996</v>
      </c>
      <c r="L30" s="5">
        <f>+K30*(1-'DATOS GENERALES'!$B$67)</f>
        <v>389822496.03179997</v>
      </c>
      <c r="M30" s="3"/>
    </row>
    <row r="31" spans="1:14">
      <c r="A31" s="7" t="s">
        <v>19</v>
      </c>
      <c r="B31" s="5"/>
      <c r="C31" s="5">
        <f>+'DATOS GENERALES'!B80</f>
        <v>120000000</v>
      </c>
      <c r="D31" s="5">
        <f>+C31*(1+'DATOS GENERALES'!$B$81)</f>
        <v>126000000</v>
      </c>
      <c r="E31" s="5">
        <f>+D31*(1+'DATOS GENERALES'!$B$81)</f>
        <v>132300000</v>
      </c>
      <c r="F31" s="5">
        <f>+E31*(1+'DATOS GENERALES'!$B$81)</f>
        <v>138915000</v>
      </c>
      <c r="G31" s="5">
        <f>+F31*(1+'DATOS GENERALES'!$B$81)</f>
        <v>145860750</v>
      </c>
      <c r="H31" s="5">
        <f>+G31*(1+'DATOS GENERALES'!$B$81)</f>
        <v>153153787.5</v>
      </c>
      <c r="I31" s="5">
        <f>+H31*(1+'DATOS GENERALES'!$B$81)</f>
        <v>160811476.875</v>
      </c>
      <c r="J31" s="5">
        <f>+I31*(1+'DATOS GENERALES'!$B$81)</f>
        <v>168852050.71875</v>
      </c>
      <c r="K31" s="5">
        <f>+J31*(1+'DATOS GENERALES'!$B$81)</f>
        <v>177294653.25468752</v>
      </c>
      <c r="L31" s="5">
        <f>+K31*(1+'DATOS GENERALES'!$B$81)</f>
        <v>186159385.91742191</v>
      </c>
      <c r="M31" s="3"/>
    </row>
    <row r="32" spans="1:14">
      <c r="A32" s="7" t="s">
        <v>12</v>
      </c>
      <c r="B32" s="5">
        <f>'DATOS GENERALES'!E51</f>
        <v>811900000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</row>
    <row r="33" spans="1:14">
      <c r="A33" s="7" t="s">
        <v>13</v>
      </c>
      <c r="B33" s="5">
        <f>+'DATOS GENERALES'!I53</f>
        <v>225600000</v>
      </c>
      <c r="C33" s="8">
        <f>+B33*(1+'DATOS GENERALES'!$I$54)</f>
        <v>236880000</v>
      </c>
      <c r="D33" s="8">
        <f>+C33*(1+'DATOS GENERALES'!$I$54)</f>
        <v>248724000</v>
      </c>
      <c r="E33" s="8">
        <f>+D33*(1+'DATOS GENERALES'!$I$54)</f>
        <v>261160200</v>
      </c>
      <c r="F33" s="8">
        <f>+E33*(1+'DATOS GENERALES'!$I$54)</f>
        <v>274218210</v>
      </c>
      <c r="G33" s="8">
        <f>+F33*(1+'DATOS GENERALES'!$I$54)</f>
        <v>287929120.5</v>
      </c>
      <c r="H33" s="8">
        <f>+G33*(1+'DATOS GENERALES'!$I$54)</f>
        <v>302325576.52500004</v>
      </c>
      <c r="I33" s="8">
        <f>+H33*(1+'DATOS GENERALES'!$I$54)</f>
        <v>317441855.35125005</v>
      </c>
      <c r="J33" s="8">
        <f>+I33*(1+'DATOS GENERALES'!$I$54)</f>
        <v>333313948.11881256</v>
      </c>
      <c r="K33" s="8">
        <f>+J33*(1+'DATOS GENERALES'!$I$54)</f>
        <v>349979645.52475321</v>
      </c>
      <c r="L33" s="8">
        <f>+K33*(1+'DATOS GENERALES'!$I$54)</f>
        <v>367478627.80099088</v>
      </c>
      <c r="M33" s="3"/>
      <c r="N33" s="3"/>
    </row>
    <row r="34" spans="1:14">
      <c r="A34" s="7" t="s">
        <v>242</v>
      </c>
      <c r="B34" s="5">
        <f>+('DATOS GENERALES'!$B$82*B9)+('DATOS GENERALES'!$B$82*B10)+('DATOS GENERALES'!$B$82*B11)</f>
        <v>0</v>
      </c>
      <c r="C34" s="5">
        <f>+('DATOS GENERALES'!$B$82*C9)+('DATOS GENERALES'!$B$82*C10)+('DATOS GENERALES'!$B$82*C11)</f>
        <v>279300000</v>
      </c>
      <c r="D34" s="5">
        <f>+('DATOS GENERALES'!$B$82*D9)+('DATOS GENERALES'!$B$82*D10)+('DATOS GENERALES'!$B$82*D11)</f>
        <v>407400000</v>
      </c>
      <c r="E34" s="5">
        <f>+('DATOS GENERALES'!$B$82*E9)+('DATOS GENERALES'!$B$82*E10)+('DATOS GENERALES'!$B$82*E11)</f>
        <v>535500000</v>
      </c>
      <c r="F34" s="5">
        <f>+('DATOS GENERALES'!$B$82*F9)+('DATOS GENERALES'!$B$82*F10)+('DATOS GENERALES'!$B$82*F11)</f>
        <v>663600000</v>
      </c>
      <c r="G34" s="5">
        <f>+('DATOS GENERALES'!$B$82*G9)+('DATOS GENERALES'!$B$82*G10)+('DATOS GENERALES'!$B$82*G11)</f>
        <v>791700000</v>
      </c>
      <c r="H34" s="5">
        <f>+('DATOS GENERALES'!$B$82*H9)+('DATOS GENERALES'!$B$82*H10)+('DATOS GENERALES'!$B$82*H11)</f>
        <v>739200000</v>
      </c>
      <c r="I34" s="5">
        <f>+('DATOS GENERALES'!$B$82*I9)+('DATOS GENERALES'!$B$82*I10)+('DATOS GENERALES'!$B$82*I11)</f>
        <v>611100000</v>
      </c>
      <c r="J34" s="5">
        <f>+('DATOS GENERALES'!$B$82*J9)+('DATOS GENERALES'!$B$82*J10)+('DATOS GENERALES'!$B$82*J11)</f>
        <v>483000000</v>
      </c>
      <c r="K34" s="5">
        <f>+('DATOS GENERALES'!$B$82*K9)+('DATOS GENERALES'!$B$82*K10)+('DATOS GENERALES'!$B$82*K11)</f>
        <v>354900000</v>
      </c>
      <c r="L34" s="5">
        <f>+('DATOS GENERALES'!$B$82*L9)+('DATOS GENERALES'!$B$82*L10)+('DATOS GENERALES'!$B$82*L11)</f>
        <v>226800000</v>
      </c>
      <c r="M34" s="3"/>
    </row>
    <row r="35" spans="1:14">
      <c r="A35" s="7" t="s">
        <v>243</v>
      </c>
      <c r="B35" s="2"/>
      <c r="C35" s="2"/>
      <c r="D35" s="2"/>
      <c r="E35" s="2"/>
      <c r="F35" s="2"/>
      <c r="G35" s="5">
        <f>'DATOS GENERALES'!$B$82*'FLUJO DE TESORERÍA '!G12</f>
        <v>145000000</v>
      </c>
      <c r="H35" s="5">
        <f>'DATOS GENERALES'!$B$82*'FLUJO DE TESORERÍA '!H12</f>
        <v>145000000</v>
      </c>
      <c r="I35" s="5">
        <f>'DATOS GENERALES'!$B$82*'FLUJO DE TESORERÍA '!I12</f>
        <v>145000000</v>
      </c>
      <c r="J35" s="2"/>
      <c r="K35" s="2"/>
      <c r="L35" s="2"/>
      <c r="M35" s="3"/>
    </row>
    <row r="36" spans="1:14">
      <c r="A36" s="7" t="s">
        <v>14</v>
      </c>
      <c r="B36" s="5">
        <f>+'ESTADO DE RESULTADOS'!B19</f>
        <v>0</v>
      </c>
      <c r="C36" s="5">
        <f>+'ESTADO DE RESULTADOS'!C19</f>
        <v>0</v>
      </c>
      <c r="D36" s="5">
        <f>+'ESTADO DE RESULTADOS'!D19</f>
        <v>0</v>
      </c>
      <c r="E36" s="5">
        <f>+'ESTADO DE RESULTADOS'!E19</f>
        <v>0</v>
      </c>
      <c r="F36" s="5">
        <f>+'ESTADO DE RESULTADOS'!F19</f>
        <v>0</v>
      </c>
      <c r="G36" s="5">
        <f>+'ESTADO DE RESULTADOS'!G19</f>
        <v>8516220569.4864521</v>
      </c>
      <c r="H36" s="5">
        <f>+'ESTADO DE RESULTADOS'!H19</f>
        <v>5724008095.1780615</v>
      </c>
      <c r="I36" s="5">
        <f>+'ESTADO DE RESULTADOS'!I19</f>
        <v>4833129946.0730839</v>
      </c>
      <c r="J36" s="5">
        <f>+'ESTADO DE RESULTADOS'!J19</f>
        <v>0</v>
      </c>
      <c r="K36" s="5">
        <f>+'ESTADO DE RESULTADOS'!K19</f>
        <v>2160568840.1871758</v>
      </c>
      <c r="L36" s="5">
        <f>+'ESTADO DE RESULTADOS'!L19</f>
        <v>1262617158.9024134</v>
      </c>
      <c r="M36" s="3"/>
      <c r="N36" s="3"/>
    </row>
    <row r="37" spans="1:14">
      <c r="M37" s="3"/>
      <c r="N37" s="3"/>
    </row>
    <row r="38" spans="1:14">
      <c r="A38" s="20" t="s">
        <v>15</v>
      </c>
      <c r="B38" s="21">
        <f>SUM(B18:B37)</f>
        <v>11742198223.86005</v>
      </c>
      <c r="C38" s="21">
        <f t="shared" ref="C38:L38" si="2">SUM(C18:C37)</f>
        <v>24913530036.179615</v>
      </c>
      <c r="D38" s="21">
        <f t="shared" si="2"/>
        <v>27583622097.886055</v>
      </c>
      <c r="E38" s="21">
        <f t="shared" si="2"/>
        <v>35076844359.592499</v>
      </c>
      <c r="F38" s="21">
        <f t="shared" si="2"/>
        <v>29813818717.798935</v>
      </c>
      <c r="G38" s="21">
        <f t="shared" si="2"/>
        <v>42383788466.191826</v>
      </c>
      <c r="H38" s="21">
        <f t="shared" si="2"/>
        <v>44391885918.478836</v>
      </c>
      <c r="I38" s="21">
        <f t="shared" si="2"/>
        <v>38205253909.67379</v>
      </c>
      <c r="J38" s="21">
        <f t="shared" si="2"/>
        <v>27938616526.194904</v>
      </c>
      <c r="K38" s="21">
        <f t="shared" si="2"/>
        <v>17819675011.080963</v>
      </c>
      <c r="L38" s="21">
        <f t="shared" si="2"/>
        <v>11646179562.038376</v>
      </c>
      <c r="M38" s="3"/>
      <c r="N38" s="3"/>
    </row>
    <row r="39" spans="1:14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</row>
    <row r="40" spans="1:14">
      <c r="A40" s="20" t="s">
        <v>16</v>
      </c>
      <c r="B40" s="21">
        <f t="shared" ref="B40:L40" si="3">B15-B38</f>
        <v>757801776.1399498</v>
      </c>
      <c r="C40" s="21">
        <f t="shared" si="3"/>
        <v>464271739.96033478</v>
      </c>
      <c r="D40" s="21">
        <f t="shared" si="3"/>
        <v>40649642.074279785</v>
      </c>
      <c r="E40" s="21">
        <f t="shared" si="3"/>
        <v>663805282.48178101</v>
      </c>
      <c r="F40" s="21">
        <f t="shared" si="3"/>
        <v>15089986564.682846</v>
      </c>
      <c r="G40" s="21">
        <f t="shared" si="3"/>
        <v>35152864765.157692</v>
      </c>
      <c r="H40" s="21">
        <f t="shared" si="3"/>
        <v>49707645513.34552</v>
      </c>
      <c r="I40" s="21">
        <f t="shared" si="3"/>
        <v>61909058270.338387</v>
      </c>
      <c r="J40" s="21">
        <f t="shared" si="3"/>
        <v>66170441744.143478</v>
      </c>
      <c r="K40" s="21">
        <f t="shared" si="3"/>
        <v>72010766733.062515</v>
      </c>
      <c r="L40" s="21">
        <f t="shared" si="3"/>
        <v>75484587171.024139</v>
      </c>
    </row>
    <row r="42" spans="1:14">
      <c r="B42" s="3"/>
      <c r="C42" s="3"/>
    </row>
    <row r="43" spans="1:14">
      <c r="B43" s="3"/>
      <c r="N43" s="124"/>
    </row>
    <row r="44" spans="1:14">
      <c r="B44" s="14"/>
    </row>
  </sheetData>
  <mergeCells count="2">
    <mergeCell ref="A2:L2"/>
    <mergeCell ref="A1:L1"/>
  </mergeCells>
  <pageMargins left="0.7" right="0.7" top="0.75" bottom="0.75" header="0.3" footer="0.3"/>
  <pageSetup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4"/>
  <sheetViews>
    <sheetView zoomScaleNormal="100" workbookViewId="0">
      <selection activeCell="A3" sqref="A3"/>
    </sheetView>
  </sheetViews>
  <sheetFormatPr baseColWidth="10" defaultRowHeight="15"/>
  <cols>
    <col min="1" max="1" width="42" bestFit="1" customWidth="1"/>
    <col min="2" max="11" width="19.7109375" bestFit="1" customWidth="1"/>
    <col min="12" max="12" width="18.42578125" bestFit="1" customWidth="1"/>
  </cols>
  <sheetData>
    <row r="1" spans="1:12" ht="23.25">
      <c r="A1" s="186" t="s">
        <v>76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1:12" ht="21">
      <c r="A2" s="185" t="s">
        <v>281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r="3" spans="1:12">
      <c r="A3" s="1"/>
      <c r="B3" s="12" t="str">
        <f>+'ESTADO DE RESULTADOS'!B3</f>
        <v>AÑO 0</v>
      </c>
      <c r="C3" s="12" t="str">
        <f>+'ESTADO DE RESULTADOS'!C3</f>
        <v>AÑO 1</v>
      </c>
      <c r="D3" s="12" t="str">
        <f>+'ESTADO DE RESULTADOS'!D3</f>
        <v>AÑO 2</v>
      </c>
      <c r="E3" s="12" t="str">
        <f>+'ESTADO DE RESULTADOS'!E3</f>
        <v>AÑO 3</v>
      </c>
      <c r="F3" s="12" t="str">
        <f>+'ESTADO DE RESULTADOS'!F3</f>
        <v>AÑO 4</v>
      </c>
      <c r="G3" s="12" t="str">
        <f>+'ESTADO DE RESULTADOS'!G3</f>
        <v>AÑO 5</v>
      </c>
      <c r="H3" s="12" t="str">
        <f>+'ESTADO DE RESULTADOS'!H3</f>
        <v>AÑO 6</v>
      </c>
      <c r="I3" s="12" t="str">
        <f>+'ESTADO DE RESULTADOS'!I3</f>
        <v>AÑO 7</v>
      </c>
      <c r="J3" s="12" t="str">
        <f>+'ESTADO DE RESULTADOS'!J3</f>
        <v>AÑO 8</v>
      </c>
      <c r="K3" s="12" t="str">
        <f>+'ESTADO DE RESULTADOS'!K3</f>
        <v>AÑO 9</v>
      </c>
      <c r="L3" s="12" t="str">
        <f>+'ESTADO DE RESULTADOS'!L3</f>
        <v>AÑO 10</v>
      </c>
    </row>
    <row r="4" spans="1:12">
      <c r="A4" s="18" t="s">
        <v>35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>
      <c r="A5" s="2" t="s">
        <v>36</v>
      </c>
      <c r="B5" s="5">
        <f>+'FLUJO DE TESORERÍA '!B40</f>
        <v>757801776.1399498</v>
      </c>
      <c r="C5" s="5">
        <f>+'FLUJO DE TESORERÍA '!C40</f>
        <v>464271739.96033478</v>
      </c>
      <c r="D5" s="5">
        <f>+'FLUJO DE TESORERÍA '!D40</f>
        <v>40649642.074279785</v>
      </c>
      <c r="E5" s="5">
        <f>+'FLUJO DE TESORERÍA '!E40</f>
        <v>663805282.48178101</v>
      </c>
      <c r="F5" s="5">
        <f>+'FLUJO DE TESORERÍA '!F40</f>
        <v>15089986564.682846</v>
      </c>
      <c r="G5" s="5">
        <f>+'FLUJO DE TESORERÍA '!G40</f>
        <v>35152864765.157692</v>
      </c>
      <c r="H5" s="5">
        <f>+'FLUJO DE TESORERÍA '!H40</f>
        <v>49707645513.34552</v>
      </c>
      <c r="I5" s="5">
        <f>+'FLUJO DE TESORERÍA '!I40</f>
        <v>61909058270.338387</v>
      </c>
      <c r="J5" s="5">
        <f>+'FLUJO DE TESORERÍA '!J40</f>
        <v>66170441744.143478</v>
      </c>
      <c r="K5" s="5">
        <f>+'FLUJO DE TESORERÍA '!K40</f>
        <v>72010766733.062515</v>
      </c>
      <c r="L5" s="5">
        <f>+'FLUJO DE TESORERÍA '!L40</f>
        <v>75484587171.024139</v>
      </c>
    </row>
    <row r="6" spans="1:12">
      <c r="A6" s="2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2" t="s">
        <v>38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18" t="s">
        <v>39</v>
      </c>
      <c r="B8" s="24">
        <f>SUM(B5:B7)</f>
        <v>757801776.1399498</v>
      </c>
      <c r="C8" s="24">
        <f t="shared" ref="C8:K8" si="0">SUM(C5:C7)</f>
        <v>464271739.96033478</v>
      </c>
      <c r="D8" s="24">
        <f t="shared" si="0"/>
        <v>40649642.074279785</v>
      </c>
      <c r="E8" s="24">
        <f t="shared" si="0"/>
        <v>663805282.48178101</v>
      </c>
      <c r="F8" s="24">
        <f t="shared" si="0"/>
        <v>15089986564.682846</v>
      </c>
      <c r="G8" s="24">
        <f t="shared" si="0"/>
        <v>35152864765.157692</v>
      </c>
      <c r="H8" s="24">
        <f t="shared" si="0"/>
        <v>49707645513.34552</v>
      </c>
      <c r="I8" s="24">
        <f t="shared" si="0"/>
        <v>61909058270.338387</v>
      </c>
      <c r="J8" s="24">
        <f t="shared" si="0"/>
        <v>66170441744.143478</v>
      </c>
      <c r="K8" s="24">
        <f t="shared" si="0"/>
        <v>72010766733.062515</v>
      </c>
      <c r="L8" s="24">
        <f t="shared" ref="L8" si="1">SUM(L5:L7)</f>
        <v>75484587171.024139</v>
      </c>
    </row>
    <row r="9" spans="1:12">
      <c r="A9" s="10" t="s">
        <v>65</v>
      </c>
      <c r="B9" s="13">
        <f>+'DATOS GENERALES'!B57</f>
        <v>26880000000</v>
      </c>
      <c r="C9" s="13">
        <f>+B9-SUM('DATOS GENERALES'!C43:C45)</f>
        <v>25428480000</v>
      </c>
      <c r="D9" s="13">
        <f>+C9-SUM('DATOS GENERALES'!D43:D45)</f>
        <v>23278080000</v>
      </c>
      <c r="E9" s="13">
        <f>+D9-SUM('DATOS GENERALES'!E43:E45)</f>
        <v>20428800000</v>
      </c>
      <c r="F9" s="13">
        <f>+E9-SUM('DATOS GENERALES'!F43:F45)</f>
        <v>16880640000</v>
      </c>
      <c r="G9" s="13">
        <f>+F9-SUM('DATOS GENERALES'!G43:G45)</f>
        <v>12633600000</v>
      </c>
      <c r="H9" s="13">
        <f>+G9-SUM('DATOS GENERALES'!H43:H45)</f>
        <v>8709120000</v>
      </c>
      <c r="I9" s="13">
        <f>+H9-SUM('DATOS GENERALES'!I43:I45)</f>
        <v>5483520000</v>
      </c>
      <c r="J9" s="13">
        <f>+I9-SUM('DATOS GENERALES'!J43:J45)</f>
        <v>2956800000</v>
      </c>
      <c r="K9" s="13">
        <f>+J9-SUM('DATOS GENERALES'!K43:K45)</f>
        <v>1128960000</v>
      </c>
      <c r="L9" s="13">
        <f>+K9-SUM('DATOS GENERALES'!L43:L45)</f>
        <v>0</v>
      </c>
    </row>
    <row r="10" spans="1:12">
      <c r="A10" s="10" t="s">
        <v>52</v>
      </c>
      <c r="B10" s="13">
        <f>'FLUJO DE TESORERÍA '!B18+'FLUJO DE TESORERÍA '!B19+'FLUJO DE TESORERÍA '!B27</f>
        <v>2866698223.8600512</v>
      </c>
      <c r="C10" s="13">
        <f>B10+'FLUJO DE TESORERÍA '!C18+'FLUJO DE TESORERÍA '!C19+'FLUJO DE TESORERÍA '!C25</f>
        <v>3121498223.8600512</v>
      </c>
      <c r="D10" s="13">
        <f>C10+'FLUJO DE TESORERÍA '!D18+'FLUJO DE TESORERÍA '!D19</f>
        <v>3121498223.8600512</v>
      </c>
      <c r="E10" s="13">
        <f>D10+'FLUJO DE TESORERÍA '!E18+'FLUJO DE TESORERÍA '!E19</f>
        <v>3121498223.8600512</v>
      </c>
      <c r="F10" s="13">
        <f>E10+'FLUJO DE TESORERÍA '!F18+'FLUJO DE TESORERÍA '!F19</f>
        <v>4427163630.3600521</v>
      </c>
      <c r="G10" s="13">
        <f>F10+'FLUJO DE TESORERÍA '!G18+'FLUJO DE TESORERÍA '!G19</f>
        <v>4427163630.3600521</v>
      </c>
      <c r="H10" s="13">
        <f>G10+'FLUJO DE TESORERÍA '!H18+'FLUJO DE TESORERÍA '!H19</f>
        <v>4427163630.3600521</v>
      </c>
      <c r="I10" s="13">
        <f>H10+'FLUJO DE TESORERÍA '!I18+'FLUJO DE TESORERÍA '!I19</f>
        <v>4427163630.3600521</v>
      </c>
      <c r="J10" s="13">
        <f>I10+'FLUJO DE TESORERÍA '!J18+'FLUJO DE TESORERÍA '!J19</f>
        <v>4427163630.3600521</v>
      </c>
      <c r="K10" s="13">
        <f>J10+'FLUJO DE TESORERÍA '!K18+'FLUJO DE TESORERÍA '!K19</f>
        <v>4427163630.3600521</v>
      </c>
      <c r="L10" s="13">
        <f>K10+'FLUJO DE TESORERÍA '!L18+'FLUJO DE TESORERÍA '!L19</f>
        <v>4427163630.3600521</v>
      </c>
    </row>
    <row r="11" spans="1:12">
      <c r="A11" s="2" t="s">
        <v>163</v>
      </c>
      <c r="B11" s="5">
        <f>+'FLUJO DE TESORERÍA '!$B$32</f>
        <v>811900000</v>
      </c>
      <c r="C11" s="5">
        <f>+'FLUJO DE TESORERÍA '!$B$32</f>
        <v>811900000</v>
      </c>
      <c r="D11" s="5">
        <f>+'FLUJO DE TESORERÍA '!$B$32</f>
        <v>811900000</v>
      </c>
      <c r="E11" s="5">
        <f>+'FLUJO DE TESORERÍA '!$B$32</f>
        <v>811900000</v>
      </c>
      <c r="F11" s="5">
        <f>+'FLUJO DE TESORERÍA '!$B$32</f>
        <v>811900000</v>
      </c>
      <c r="G11" s="5">
        <f>+'FLUJO DE TESORERÍA '!$B$32</f>
        <v>811900000</v>
      </c>
      <c r="H11" s="5">
        <f>+'FLUJO DE TESORERÍA '!$B$32</f>
        <v>811900000</v>
      </c>
      <c r="I11" s="5">
        <f>+'FLUJO DE TESORERÍA '!$B$32</f>
        <v>811900000</v>
      </c>
      <c r="J11" s="5">
        <f>+'FLUJO DE TESORERÍA '!$B$32</f>
        <v>811900000</v>
      </c>
      <c r="K11" s="5">
        <f>+'FLUJO DE TESORERÍA '!$B$32</f>
        <v>811900000</v>
      </c>
      <c r="L11" s="5">
        <f>+'FLUJO DE TESORERÍA '!$B$32</f>
        <v>811900000</v>
      </c>
    </row>
    <row r="12" spans="1:12">
      <c r="A12" s="2" t="s">
        <v>269</v>
      </c>
      <c r="B12" s="5"/>
      <c r="C12" s="5">
        <f>+'FLUJO DE TESORERÍA '!C28</f>
        <v>5100000000</v>
      </c>
      <c r="D12" s="5">
        <f>+C12</f>
        <v>5100000000</v>
      </c>
      <c r="E12" s="5">
        <f>+D12+'FLUJO DE TESORERÍA '!E28</f>
        <v>10200000000</v>
      </c>
      <c r="F12" s="5">
        <f>+E12</f>
        <v>10200000000</v>
      </c>
      <c r="G12" s="5">
        <f t="shared" ref="G12:L12" si="2">+F12</f>
        <v>10200000000</v>
      </c>
      <c r="H12" s="5">
        <f t="shared" si="2"/>
        <v>10200000000</v>
      </c>
      <c r="I12" s="5">
        <f t="shared" si="2"/>
        <v>10200000000</v>
      </c>
      <c r="J12" s="5">
        <f t="shared" si="2"/>
        <v>10200000000</v>
      </c>
      <c r="K12" s="5">
        <f t="shared" si="2"/>
        <v>10200000000</v>
      </c>
      <c r="L12" s="5">
        <f t="shared" si="2"/>
        <v>10200000000</v>
      </c>
    </row>
    <row r="13" spans="1:12">
      <c r="A13" s="2" t="s">
        <v>270</v>
      </c>
      <c r="B13" s="5"/>
      <c r="C13" s="5"/>
      <c r="D13" s="5">
        <f>+'FLUJO DE TESORERÍA '!D26</f>
        <v>2800000000</v>
      </c>
      <c r="E13" s="5">
        <f>+D13</f>
        <v>2800000000</v>
      </c>
      <c r="F13" s="5">
        <f t="shared" ref="F13:L13" si="3">+E13</f>
        <v>2800000000</v>
      </c>
      <c r="G13" s="5">
        <f t="shared" si="3"/>
        <v>2800000000</v>
      </c>
      <c r="H13" s="5">
        <f t="shared" si="3"/>
        <v>2800000000</v>
      </c>
      <c r="I13" s="5">
        <f t="shared" si="3"/>
        <v>2800000000</v>
      </c>
      <c r="J13" s="5">
        <f t="shared" si="3"/>
        <v>2800000000</v>
      </c>
      <c r="K13" s="5">
        <f t="shared" si="3"/>
        <v>2800000000</v>
      </c>
      <c r="L13" s="5">
        <f t="shared" si="3"/>
        <v>2800000000</v>
      </c>
    </row>
    <row r="14" spans="1:12">
      <c r="A14" s="18" t="s">
        <v>40</v>
      </c>
      <c r="B14" s="24">
        <f>SUM(B9:B13)</f>
        <v>30558598223.86005</v>
      </c>
      <c r="C14" s="24">
        <f t="shared" ref="C14:L14" si="4">SUM(C9:C13)</f>
        <v>34461878223.860046</v>
      </c>
      <c r="D14" s="24">
        <f t="shared" si="4"/>
        <v>35111478223.860046</v>
      </c>
      <c r="E14" s="24">
        <f t="shared" si="4"/>
        <v>37362198223.860046</v>
      </c>
      <c r="F14" s="24">
        <f t="shared" si="4"/>
        <v>35119703630.360054</v>
      </c>
      <c r="G14" s="24">
        <f t="shared" si="4"/>
        <v>30872663630.360054</v>
      </c>
      <c r="H14" s="24">
        <f t="shared" si="4"/>
        <v>26948183630.360054</v>
      </c>
      <c r="I14" s="24">
        <f t="shared" si="4"/>
        <v>23722583630.360054</v>
      </c>
      <c r="J14" s="24">
        <f t="shared" si="4"/>
        <v>21195863630.360054</v>
      </c>
      <c r="K14" s="24">
        <f t="shared" si="4"/>
        <v>19368023630.360054</v>
      </c>
      <c r="L14" s="24">
        <f t="shared" si="4"/>
        <v>18239063630.360054</v>
      </c>
    </row>
    <row r="15" spans="1:12">
      <c r="A15" s="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27" t="s">
        <v>41</v>
      </c>
      <c r="B16" s="28">
        <f t="shared" ref="B16:L16" si="5">B14+B8</f>
        <v>31316400000</v>
      </c>
      <c r="C16" s="28">
        <f t="shared" si="5"/>
        <v>34926149963.820381</v>
      </c>
      <c r="D16" s="28">
        <f t="shared" si="5"/>
        <v>35152127865.934326</v>
      </c>
      <c r="E16" s="28">
        <f t="shared" si="5"/>
        <v>38026003506.341827</v>
      </c>
      <c r="F16" s="28">
        <f t="shared" si="5"/>
        <v>50209690195.0429</v>
      </c>
      <c r="G16" s="28">
        <f t="shared" si="5"/>
        <v>66025528395.517746</v>
      </c>
      <c r="H16" s="28">
        <f t="shared" si="5"/>
        <v>76655829143.705566</v>
      </c>
      <c r="I16" s="28">
        <f t="shared" si="5"/>
        <v>85631641900.698441</v>
      </c>
      <c r="J16" s="28">
        <f t="shared" si="5"/>
        <v>87366305374.50354</v>
      </c>
      <c r="K16" s="28">
        <f t="shared" si="5"/>
        <v>91378790363.422577</v>
      </c>
      <c r="L16" s="28">
        <f t="shared" si="5"/>
        <v>93723650801.384186</v>
      </c>
    </row>
    <row r="17" spans="1:12">
      <c r="A17" s="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18" t="s">
        <v>42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>
      <c r="A19" s="2" t="s">
        <v>43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2" t="s">
        <v>44</v>
      </c>
      <c r="B20" s="5">
        <f>+B9-'FLUJO DE TESORERÍA '!B20</f>
        <v>20160000000</v>
      </c>
      <c r="C20" s="5">
        <f>+B20-'FLUJO DE TESORERÍA '!C20</f>
        <v>13440000000</v>
      </c>
      <c r="D20" s="5">
        <f>+C20-'FLUJO DE TESORERÍA '!D20</f>
        <v>6720000000</v>
      </c>
      <c r="E20" s="5">
        <f>+D20-'FLUJO DE TESORERÍA '!E20</f>
        <v>0</v>
      </c>
      <c r="F20" s="5"/>
      <c r="G20" s="5"/>
      <c r="H20" s="5"/>
      <c r="I20" s="5"/>
      <c r="J20" s="5"/>
      <c r="K20" s="5"/>
      <c r="L20" s="5"/>
    </row>
    <row r="21" spans="1:12">
      <c r="A21" s="18" t="s">
        <v>172</v>
      </c>
      <c r="B21" s="24">
        <f>+SUM(B19:B20)</f>
        <v>20160000000</v>
      </c>
      <c r="C21" s="24">
        <f t="shared" ref="C21:L21" si="6">+SUM(C19:C20)</f>
        <v>13440000000</v>
      </c>
      <c r="D21" s="24">
        <f t="shared" si="6"/>
        <v>6720000000</v>
      </c>
      <c r="E21" s="24">
        <f t="shared" si="6"/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</row>
    <row r="22" spans="1:12">
      <c r="A22" s="2" t="s">
        <v>45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27" t="s">
        <v>46</v>
      </c>
      <c r="B23" s="28">
        <f>+B22+B21</f>
        <v>20160000000</v>
      </c>
      <c r="C23" s="28">
        <f t="shared" ref="C23:L23" si="7">+C22+C21</f>
        <v>13440000000</v>
      </c>
      <c r="D23" s="28">
        <f t="shared" si="7"/>
        <v>6720000000</v>
      </c>
      <c r="E23" s="28">
        <f t="shared" si="7"/>
        <v>0</v>
      </c>
      <c r="F23" s="28">
        <f t="shared" si="7"/>
        <v>0</v>
      </c>
      <c r="G23" s="28">
        <f t="shared" si="7"/>
        <v>0</v>
      </c>
      <c r="H23" s="28">
        <f t="shared" si="7"/>
        <v>0</v>
      </c>
      <c r="I23" s="28">
        <f t="shared" si="7"/>
        <v>0</v>
      </c>
      <c r="J23" s="28">
        <f t="shared" si="7"/>
        <v>0</v>
      </c>
      <c r="K23" s="28">
        <f t="shared" si="7"/>
        <v>0</v>
      </c>
      <c r="L23" s="28">
        <f t="shared" si="7"/>
        <v>0</v>
      </c>
    </row>
    <row r="24" spans="1:12">
      <c r="A24" s="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>
      <c r="A25" s="18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1:12">
      <c r="A26" s="2" t="s">
        <v>53</v>
      </c>
      <c r="B26" s="5">
        <f>'FLUJO DE TESORERÍA '!B13</f>
        <v>12500000000</v>
      </c>
      <c r="C26" s="5">
        <f>B26+'FLUJO DE TESORERÍA '!C13</f>
        <v>18500000000</v>
      </c>
      <c r="D26" s="5">
        <f>C26+'FLUJO DE TESORERÍA '!D13</f>
        <v>18500000000</v>
      </c>
      <c r="E26" s="5">
        <f>D26+'FLUJO DE TESORERÍA '!E13</f>
        <v>18500000000</v>
      </c>
      <c r="F26" s="5">
        <f>E26+'FLUJO DE TESORERÍA '!F13</f>
        <v>18500000000</v>
      </c>
      <c r="G26" s="5">
        <f>F26+'FLUJO DE TESORERÍA '!G13</f>
        <v>18500000000</v>
      </c>
      <c r="H26" s="5">
        <f>G26+'FLUJO DE TESORERÍA '!H13</f>
        <v>18500000000</v>
      </c>
      <c r="I26" s="5">
        <f>H26+'FLUJO DE TESORERÍA '!I13</f>
        <v>18500000000</v>
      </c>
      <c r="J26" s="5">
        <f>I26+'FLUJO DE TESORERÍA '!J13</f>
        <v>18500000000</v>
      </c>
      <c r="K26" s="5">
        <f>J26+'FLUJO DE TESORERÍA '!K13</f>
        <v>18500000000</v>
      </c>
      <c r="L26" s="5">
        <f>K26+'FLUJO DE TESORERÍA '!L13</f>
        <v>18500000000</v>
      </c>
    </row>
    <row r="27" spans="1:12">
      <c r="A27" s="2" t="s">
        <v>48</v>
      </c>
      <c r="B27" s="5">
        <f>'ESTADO DE RESULTADOS'!B21</f>
        <v>-1343600000</v>
      </c>
      <c r="C27" s="5">
        <f>B27+'ESTADO DE RESULTADOS'!C21</f>
        <v>2986149963.8203869</v>
      </c>
      <c r="D27" s="5">
        <f>C27+'ESTADO DE RESULTADOS'!D21</f>
        <v>9932127865.9343357</v>
      </c>
      <c r="E27" s="5">
        <f>D27+'ESTADO DE RESULTADOS'!E21</f>
        <v>19526003506.341843</v>
      </c>
      <c r="F27" s="5">
        <f>E27+'ESTADO DE RESULTADOS'!F21</f>
        <v>31709690195.042915</v>
      </c>
      <c r="G27" s="5">
        <f>F27+'ESTADO DE RESULTADOS'!G21</f>
        <v>47525528395.517754</v>
      </c>
      <c r="H27" s="5">
        <f>G27+'ESTADO DE RESULTADOS'!H21</f>
        <v>58155829143.705582</v>
      </c>
      <c r="I27" s="5">
        <f>H27+'ESTADO DE RESULTADOS'!I21</f>
        <v>67131641900.698456</v>
      </c>
      <c r="J27" s="5">
        <f>I27+'ESTADO DE RESULTADOS'!J21</f>
        <v>68866305374.503555</v>
      </c>
      <c r="K27" s="5">
        <f>J27+'ESTADO DE RESULTADOS'!K21</f>
        <v>72878790363.422592</v>
      </c>
      <c r="L27" s="5">
        <f>K27+'ESTADO DE RESULTADOS'!L21</f>
        <v>75223650801.384216</v>
      </c>
    </row>
    <row r="28" spans="1:12">
      <c r="A28" s="18" t="s">
        <v>49</v>
      </c>
      <c r="B28" s="24">
        <f t="shared" ref="B28:K28" si="8">B26+B27</f>
        <v>11156400000</v>
      </c>
      <c r="C28" s="24">
        <f t="shared" si="8"/>
        <v>21486149963.820389</v>
      </c>
      <c r="D28" s="24">
        <f t="shared" si="8"/>
        <v>28432127865.934334</v>
      </c>
      <c r="E28" s="24">
        <f t="shared" si="8"/>
        <v>38026003506.341843</v>
      </c>
      <c r="F28" s="24">
        <f t="shared" si="8"/>
        <v>50209690195.042915</v>
      </c>
      <c r="G28" s="24">
        <f t="shared" si="8"/>
        <v>66025528395.517754</v>
      </c>
      <c r="H28" s="24">
        <f t="shared" si="8"/>
        <v>76655829143.705582</v>
      </c>
      <c r="I28" s="24">
        <f t="shared" si="8"/>
        <v>85631641900.698456</v>
      </c>
      <c r="J28" s="24">
        <f t="shared" si="8"/>
        <v>87366305374.503555</v>
      </c>
      <c r="K28" s="24">
        <f t="shared" si="8"/>
        <v>91378790363.422592</v>
      </c>
      <c r="L28" s="24">
        <f t="shared" ref="L28" si="9">L26+L27</f>
        <v>93723650801.384216</v>
      </c>
    </row>
    <row r="29" spans="1:12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27" t="s">
        <v>50</v>
      </c>
      <c r="B30" s="28">
        <f t="shared" ref="B30:K30" si="10">B28+B23</f>
        <v>31316400000</v>
      </c>
      <c r="C30" s="28">
        <f t="shared" si="10"/>
        <v>34926149963.820389</v>
      </c>
      <c r="D30" s="28">
        <f t="shared" si="10"/>
        <v>35152127865.934334</v>
      </c>
      <c r="E30" s="28">
        <f t="shared" si="10"/>
        <v>38026003506.341843</v>
      </c>
      <c r="F30" s="28">
        <f t="shared" si="10"/>
        <v>50209690195.042915</v>
      </c>
      <c r="G30" s="28">
        <f t="shared" si="10"/>
        <v>66025528395.517754</v>
      </c>
      <c r="H30" s="28">
        <f t="shared" si="10"/>
        <v>76655829143.705582</v>
      </c>
      <c r="I30" s="28">
        <f t="shared" si="10"/>
        <v>85631641900.698456</v>
      </c>
      <c r="J30" s="28">
        <f t="shared" si="10"/>
        <v>87366305374.503555</v>
      </c>
      <c r="K30" s="28">
        <f t="shared" si="10"/>
        <v>91378790363.422592</v>
      </c>
      <c r="L30" s="28">
        <f t="shared" ref="L30" si="11">L28+L23</f>
        <v>93723650801.384216</v>
      </c>
    </row>
    <row r="31" spans="1:12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>
      <c r="A32" s="2" t="s">
        <v>51</v>
      </c>
      <c r="B32" s="5">
        <f t="shared" ref="B32:K32" si="12">B16-B30</f>
        <v>0</v>
      </c>
      <c r="C32" s="5">
        <f t="shared" si="12"/>
        <v>0</v>
      </c>
      <c r="D32" s="5">
        <f t="shared" si="12"/>
        <v>0</v>
      </c>
      <c r="E32" s="5">
        <f t="shared" si="12"/>
        <v>0</v>
      </c>
      <c r="F32" s="5">
        <f t="shared" si="12"/>
        <v>0</v>
      </c>
      <c r="G32" s="5">
        <f t="shared" si="12"/>
        <v>0</v>
      </c>
      <c r="H32" s="5">
        <f t="shared" si="12"/>
        <v>0</v>
      </c>
      <c r="I32" s="5">
        <f t="shared" si="12"/>
        <v>0</v>
      </c>
      <c r="J32" s="5">
        <f t="shared" si="12"/>
        <v>0</v>
      </c>
      <c r="K32" s="5">
        <f t="shared" si="12"/>
        <v>0</v>
      </c>
      <c r="L32" s="5">
        <f t="shared" ref="L32" si="13">L16-L30</f>
        <v>0</v>
      </c>
    </row>
    <row r="34" spans="1:12">
      <c r="A34" s="2" t="s">
        <v>87</v>
      </c>
      <c r="B34" s="32">
        <f>'ESTADO DE RESULTADOS'!B21/BALANCE!B16</f>
        <v>-4.2904037501117626E-2</v>
      </c>
      <c r="C34" s="32">
        <f>'ESTADO DE RESULTADOS'!C21/BALANCE!C16</f>
        <v>0.1239687159422246</v>
      </c>
      <c r="D34" s="32">
        <f>'ESTADO DE RESULTADOS'!D21/BALANCE!D16</f>
        <v>0.19759765123195419</v>
      </c>
      <c r="E34" s="32">
        <f>'ESTADO DE RESULTADOS'!E21/BALANCE!E16</f>
        <v>0.25229776352404426</v>
      </c>
      <c r="F34" s="32">
        <f>'ESTADO DE RESULTADOS'!F21/BALANCE!F16</f>
        <v>0.24265608175180381</v>
      </c>
      <c r="G34" s="32">
        <f>'ESTADO DE RESULTADOS'!G21/BALANCE!G16</f>
        <v>0.23954125903744414</v>
      </c>
      <c r="H34" s="32">
        <f>'ESTADO DE RESULTADOS'!H21/BALANCE!H16</f>
        <v>0.13867569977306432</v>
      </c>
      <c r="I34" s="32">
        <f>'ESTADO DE RESULTADOS'!I21/BALANCE!I16</f>
        <v>0.10481887953756101</v>
      </c>
      <c r="J34" s="32">
        <f>'ESTADO DE RESULTADOS'!J21/BALANCE!J16</f>
        <v>1.985506273121318E-2</v>
      </c>
      <c r="K34" s="32">
        <f>'ESTADO DE RESULTADOS'!K21/BALANCE!K16</f>
        <v>4.3910462952737581E-2</v>
      </c>
      <c r="L34" s="32">
        <f>'ESTADO DE RESULTADOS'!L21/BALANCE!L16</f>
        <v>2.5018876429928765E-2</v>
      </c>
    </row>
  </sheetData>
  <mergeCells count="2">
    <mergeCell ref="A2:L2"/>
    <mergeCell ref="A1:L1"/>
  </mergeCells>
  <pageMargins left="0.7" right="0.7" top="0.75" bottom="0.75" header="0.3" footer="0.3"/>
  <pageSetup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3"/>
  <sheetViews>
    <sheetView zoomScaleNormal="100" workbookViewId="0">
      <selection activeCell="A3" sqref="A3"/>
    </sheetView>
  </sheetViews>
  <sheetFormatPr baseColWidth="10" defaultRowHeight="15"/>
  <cols>
    <col min="1" max="1" width="39.42578125" bestFit="1" customWidth="1"/>
    <col min="2" max="2" width="16.85546875" bestFit="1" customWidth="1"/>
    <col min="3" max="3" width="18.28515625" bestFit="1" customWidth="1"/>
    <col min="4" max="9" width="19" bestFit="1" customWidth="1"/>
    <col min="10" max="10" width="18.28515625" bestFit="1" customWidth="1"/>
    <col min="11" max="11" width="17.7109375" bestFit="1" customWidth="1"/>
    <col min="12" max="12" width="16.7109375" bestFit="1" customWidth="1"/>
  </cols>
  <sheetData>
    <row r="1" spans="1:12" ht="18.75">
      <c r="A1" s="187" t="s">
        <v>75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</row>
    <row r="2" spans="1:12" ht="18.75">
      <c r="A2" s="187" t="s">
        <v>280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s="11" customFormat="1">
      <c r="A3" s="22"/>
      <c r="B3" s="1" t="str">
        <f>+'FLUJO DE CAJA DEL PROYECTO'!B3</f>
        <v>AÑO 0</v>
      </c>
      <c r="C3" s="1" t="str">
        <f>+'FLUJO DE CAJA DEL PROYECTO'!C3</f>
        <v>AÑO 1</v>
      </c>
      <c r="D3" s="1" t="str">
        <f>+'FLUJO DE CAJA DEL PROYECTO'!D3</f>
        <v>AÑO 2</v>
      </c>
      <c r="E3" s="1" t="str">
        <f>+'FLUJO DE CAJA DEL PROYECTO'!E3</f>
        <v>AÑO 3</v>
      </c>
      <c r="F3" s="1" t="str">
        <f>+'FLUJO DE CAJA DEL PROYECTO'!F3</f>
        <v>AÑO 4</v>
      </c>
      <c r="G3" s="1" t="str">
        <f>+'FLUJO DE CAJA DEL PROYECTO'!G3</f>
        <v>AÑO 5</v>
      </c>
      <c r="H3" s="1" t="str">
        <f>+'FLUJO DE CAJA DEL PROYECTO'!H3</f>
        <v>AÑO 6</v>
      </c>
      <c r="I3" s="1" t="str">
        <f>+'FLUJO DE CAJA DEL PROYECTO'!I3</f>
        <v>AÑO 7</v>
      </c>
      <c r="J3" s="1" t="str">
        <f>+'FLUJO DE CAJA DEL PROYECTO'!J3</f>
        <v>AÑO 8</v>
      </c>
      <c r="K3" s="1" t="str">
        <f>+'FLUJO DE CAJA DEL PROYECTO'!K3</f>
        <v>AÑO 9</v>
      </c>
      <c r="L3" s="1" t="str">
        <f>+'FLUJO DE CAJA DEL PROYECTO'!L3</f>
        <v>AÑO 10</v>
      </c>
    </row>
    <row r="4" spans="1:12">
      <c r="A4" s="9" t="s">
        <v>28</v>
      </c>
      <c r="B4" s="5">
        <f>+SUM('FLUJO DE TESORERÍA '!B9:B11)</f>
        <v>0</v>
      </c>
      <c r="C4" s="5">
        <f>+SUM('FLUJO DE TESORERÍA '!C9:C12)</f>
        <v>18620000000</v>
      </c>
      <c r="D4" s="5">
        <f>+SUM('FLUJO DE TESORERÍA '!D9:D12)</f>
        <v>27160000000</v>
      </c>
      <c r="E4" s="5">
        <f>+SUM('FLUJO DE TESORERÍA '!E9:E12)</f>
        <v>35700000000</v>
      </c>
      <c r="F4" s="5">
        <f>+SUM('FLUJO DE TESORERÍA '!F9:F12)</f>
        <v>44240000000</v>
      </c>
      <c r="G4" s="5">
        <f>+SUM('FLUJO DE TESORERÍA '!G9:G12)</f>
        <v>62446666666.666664</v>
      </c>
      <c r="H4" s="5">
        <f>+SUM('FLUJO DE TESORERÍA '!H9:H12)</f>
        <v>58946666666.666664</v>
      </c>
      <c r="I4" s="5">
        <f>+SUM('FLUJO DE TESORERÍA '!I9:I12)</f>
        <v>50406666666.666664</v>
      </c>
      <c r="J4" s="5">
        <f>+SUM('FLUJO DE TESORERÍA '!J9:J12)</f>
        <v>32200000000</v>
      </c>
      <c r="K4" s="5">
        <f>+SUM('FLUJO DE TESORERÍA '!K9:K12)</f>
        <v>23660000000</v>
      </c>
      <c r="L4" s="5">
        <f>+SUM('FLUJO DE TESORERÍA '!L9:L12)</f>
        <v>15120000000</v>
      </c>
    </row>
    <row r="5" spans="1:12">
      <c r="A5" s="2" t="s">
        <v>146</v>
      </c>
      <c r="B5" s="5">
        <f>+SUM('FLUJO DE TESORERÍA '!B21:B23)</f>
        <v>0</v>
      </c>
      <c r="C5" s="5">
        <f>+SUM('FLUJO DE TESORERÍA '!C21:C24)</f>
        <v>11196350036.179613</v>
      </c>
      <c r="D5" s="5">
        <f>+SUM('FLUJO DE TESORERÍA '!D21:D24)</f>
        <v>16331518097.886051</v>
      </c>
      <c r="E5" s="5">
        <f>+SUM('FLUJO DE TESORERÍA '!E21:E24)</f>
        <v>21466686159.592491</v>
      </c>
      <c r="F5" s="5">
        <f>+SUM('FLUJO DE TESORERÍA '!F21:F24)</f>
        <v>26601854221.298927</v>
      </c>
      <c r="G5" s="5">
        <f>+SUM('FLUJO DE TESORERÍA '!G21:G24)</f>
        <v>31737022283.005371</v>
      </c>
      <c r="H5" s="5">
        <f>+SUM('FLUJO DE TESORERÍA '!H21:H24)</f>
        <v>36630163981.147774</v>
      </c>
      <c r="I5" s="5">
        <f>+SUM('FLUJO DE TESORERÍA '!I21:I24)</f>
        <v>31494995919.441338</v>
      </c>
      <c r="J5" s="5">
        <f>+SUM('FLUJO DE TESORERÍA '!J21:J24)</f>
        <v>26359827857.734898</v>
      </c>
      <c r="K5" s="5">
        <f>+SUM('FLUJO DE TESORERÍA '!K21:K24)</f>
        <v>14226941023.416201</v>
      </c>
      <c r="L5" s="5">
        <f>+SUM('FLUJO DE TESORERÍA '!L21:L24)</f>
        <v>9091772961.7097607</v>
      </c>
    </row>
    <row r="6" spans="1:12">
      <c r="A6" s="2" t="s">
        <v>147</v>
      </c>
      <c r="B6" s="5">
        <f>+SUM('DATOS GENERALES'!B43:B45)</f>
        <v>0</v>
      </c>
      <c r="C6" s="5">
        <f>+SUM('DATOS GENERALES'!C43:C45)</f>
        <v>1451520000</v>
      </c>
      <c r="D6" s="5">
        <f>+SUM('DATOS GENERALES'!D43:D45)</f>
        <v>2150400000</v>
      </c>
      <c r="E6" s="5">
        <f>+SUM('DATOS GENERALES'!E43:E45)</f>
        <v>2849280000</v>
      </c>
      <c r="F6" s="5">
        <f>+SUM('DATOS GENERALES'!F43:F45)</f>
        <v>3548160000</v>
      </c>
      <c r="G6" s="5">
        <f>+SUM('DATOS GENERALES'!G43:G45)</f>
        <v>4247040000</v>
      </c>
      <c r="H6" s="5">
        <f>+SUM('DATOS GENERALES'!H43:H45)</f>
        <v>3924480000</v>
      </c>
      <c r="I6" s="5">
        <f>+SUM('DATOS GENERALES'!I43:I45)</f>
        <v>3225600000</v>
      </c>
      <c r="J6" s="5">
        <f>+SUM('DATOS GENERALES'!J43:J45)</f>
        <v>2526720000</v>
      </c>
      <c r="K6" s="5">
        <f>+SUM('DATOS GENERALES'!K43:K45)</f>
        <v>1827840000</v>
      </c>
      <c r="L6" s="5">
        <f>+SUM('DATOS GENERALES'!L43:L45)</f>
        <v>1128960000</v>
      </c>
    </row>
    <row r="7" spans="1:12">
      <c r="A7" s="2" t="s">
        <v>148</v>
      </c>
      <c r="B7" s="5">
        <f>+SUM(B5:B6)</f>
        <v>0</v>
      </c>
      <c r="C7" s="5">
        <f t="shared" ref="C7:L7" si="0">+SUM(C5:C6)</f>
        <v>12647870036.179613</v>
      </c>
      <c r="D7" s="5">
        <f t="shared" si="0"/>
        <v>18481918097.886051</v>
      </c>
      <c r="E7" s="5">
        <f t="shared" si="0"/>
        <v>24315966159.592491</v>
      </c>
      <c r="F7" s="5">
        <f t="shared" si="0"/>
        <v>30150014221.298927</v>
      </c>
      <c r="G7" s="5">
        <f t="shared" si="0"/>
        <v>35984062283.005371</v>
      </c>
      <c r="H7" s="5">
        <f t="shared" si="0"/>
        <v>40554643981.147774</v>
      </c>
      <c r="I7" s="5">
        <f t="shared" si="0"/>
        <v>34720595919.441338</v>
      </c>
      <c r="J7" s="5">
        <f t="shared" si="0"/>
        <v>28886547857.734898</v>
      </c>
      <c r="K7" s="5">
        <f t="shared" si="0"/>
        <v>16054781023.416201</v>
      </c>
      <c r="L7" s="5">
        <f t="shared" si="0"/>
        <v>10220732961.709761</v>
      </c>
    </row>
    <row r="8" spans="1:12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23" t="s">
        <v>0</v>
      </c>
      <c r="B9" s="24">
        <f>+B4-B7</f>
        <v>0</v>
      </c>
      <c r="C9" s="24">
        <f t="shared" ref="C9:L9" si="1">+C4-C7</f>
        <v>5972129963.8203869</v>
      </c>
      <c r="D9" s="24">
        <f t="shared" si="1"/>
        <v>8678081902.1139488</v>
      </c>
      <c r="E9" s="24">
        <f t="shared" si="1"/>
        <v>11384033840.407509</v>
      </c>
      <c r="F9" s="24">
        <f t="shared" si="1"/>
        <v>14089985778.701073</v>
      </c>
      <c r="G9" s="24">
        <f t="shared" si="1"/>
        <v>26462604383.661293</v>
      </c>
      <c r="H9" s="24">
        <f t="shared" si="1"/>
        <v>18392022685.51889</v>
      </c>
      <c r="I9" s="24">
        <f t="shared" si="1"/>
        <v>15686070747.225327</v>
      </c>
      <c r="J9" s="24">
        <f t="shared" si="1"/>
        <v>3313452142.2651024</v>
      </c>
      <c r="K9" s="24">
        <f t="shared" si="1"/>
        <v>7605218976.5837994</v>
      </c>
      <c r="L9" s="24">
        <f t="shared" si="1"/>
        <v>4899267038.2902393</v>
      </c>
    </row>
    <row r="10" spans="1:12">
      <c r="A10" s="9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2" t="s">
        <v>29</v>
      </c>
      <c r="B11" s="5">
        <f>+'FLUJO DE TESORERÍA '!B33+'FLUJO DE TESORERÍA '!B29</f>
        <v>225600000</v>
      </c>
      <c r="C11" s="5">
        <f>+'FLUJO DE TESORERÍA '!C33+'FLUJO DE TESORERÍA '!C29</f>
        <v>236880000</v>
      </c>
      <c r="D11" s="5">
        <f>+'FLUJO DE TESORERÍA '!D33+'FLUJO DE TESORERÍA '!D29</f>
        <v>293124000</v>
      </c>
      <c r="E11" s="5">
        <f>+'FLUJO DE TESORERÍA '!E33+'FLUJO DE TESORERÍA '!E29</f>
        <v>307336200</v>
      </c>
      <c r="F11" s="5">
        <f>+'FLUJO DE TESORERÍA '!F33+'FLUJO DE TESORERÍA '!F29</f>
        <v>370264290</v>
      </c>
      <c r="G11" s="5">
        <f>+'FLUJO DE TESORERÍA '!G33+'FLUJO DE TESORERÍA '!G29</f>
        <v>387817043.69999999</v>
      </c>
      <c r="H11" s="5">
        <f>+'FLUJO DE TESORERÍA '!H33+'FLUJO DE TESORERÍA '!H29</f>
        <v>406209016.65300006</v>
      </c>
      <c r="I11" s="5">
        <f>+'FLUJO DE TESORERÍA '!I33+'FLUJO DE TESORERÍA '!I29</f>
        <v>425480633.08437008</v>
      </c>
      <c r="J11" s="5">
        <f>+'FLUJO DE TESORERÍA '!J33+'FLUJO DE TESORERÍA '!J29</f>
        <v>445674276.96125734</v>
      </c>
      <c r="K11" s="5">
        <f>+'FLUJO DE TESORERÍA '!K33+'FLUJO DE TESORERÍA '!K29</f>
        <v>466834387.52089584</v>
      </c>
      <c r="L11" s="5">
        <f>+'FLUJO DE TESORERÍA '!L33+'FLUJO DE TESORERÍA '!L29</f>
        <v>489007559.4769792</v>
      </c>
    </row>
    <row r="12" spans="1:12">
      <c r="A12" s="2" t="s">
        <v>34</v>
      </c>
      <c r="B12" s="5">
        <f>+'FLUJO DE TESORERÍA '!B31+'FLUJO DE TESORERÍA '!B34+'FLUJO DE TESORERÍA '!B35</f>
        <v>0</v>
      </c>
      <c r="C12" s="5">
        <f>+'FLUJO DE TESORERÍA '!C31+'FLUJO DE TESORERÍA '!C34+'FLUJO DE TESORERÍA '!C35</f>
        <v>399300000</v>
      </c>
      <c r="D12" s="5">
        <f>+'FLUJO DE TESORERÍA '!D31+'FLUJO DE TESORERÍA '!D34+'FLUJO DE TESORERÍA '!D35</f>
        <v>533400000</v>
      </c>
      <c r="E12" s="5">
        <f>+'FLUJO DE TESORERÍA '!E31+'FLUJO DE TESORERÍA '!E34+'FLUJO DE TESORERÍA '!E35</f>
        <v>667800000</v>
      </c>
      <c r="F12" s="5">
        <f>+'FLUJO DE TESORERÍA '!F31+'FLUJO DE TESORERÍA '!F34+'FLUJO DE TESORERÍA '!F35</f>
        <v>802515000</v>
      </c>
      <c r="G12" s="5">
        <f>+'FLUJO DE TESORERÍA '!G31+'FLUJO DE TESORERÍA '!G34+'FLUJO DE TESORERÍA '!G35</f>
        <v>1082560750</v>
      </c>
      <c r="H12" s="5">
        <f>+'FLUJO DE TESORERÍA '!H31+'FLUJO DE TESORERÍA '!H34+'FLUJO DE TESORERÍA '!H35</f>
        <v>1037353787.5</v>
      </c>
      <c r="I12" s="5">
        <f>+'FLUJO DE TESORERÍA '!I31+'FLUJO DE TESORERÍA '!I34+'FLUJO DE TESORERÍA '!I35</f>
        <v>916911476.875</v>
      </c>
      <c r="J12" s="5">
        <f>+'FLUJO DE TESORERÍA '!J31+'FLUJO DE TESORERÍA '!J34+'FLUJO DE TESORERÍA '!J35</f>
        <v>651852050.71875</v>
      </c>
      <c r="K12" s="5">
        <f>+'FLUJO DE TESORERÍA '!K31+'FLUJO DE TESORERÍA '!K34+'FLUJO DE TESORERÍA '!K35</f>
        <v>532194653.25468755</v>
      </c>
      <c r="L12" s="5">
        <f>+'FLUJO DE TESORERÍA '!L31+'FLUJO DE TESORERÍA '!L34+'FLUJO DE TESORERÍA '!L35</f>
        <v>412959385.91742194</v>
      </c>
    </row>
    <row r="13" spans="1:12">
      <c r="A13" s="2" t="s">
        <v>30</v>
      </c>
      <c r="B13" s="5">
        <f>+'FLUJO DE TESORERÍA '!B30</f>
        <v>1118000000</v>
      </c>
      <c r="C13" s="5">
        <f>+'FLUJO DE TESORERÍA '!C30</f>
        <v>1006200000</v>
      </c>
      <c r="D13" s="5">
        <f>+'FLUJO DE TESORERÍA '!D30</f>
        <v>905580000</v>
      </c>
      <c r="E13" s="5">
        <f>+'FLUJO DE TESORERÍA '!E30</f>
        <v>815022000</v>
      </c>
      <c r="F13" s="5">
        <f>+'FLUJO DE TESORERÍA '!F30</f>
        <v>733519800</v>
      </c>
      <c r="G13" s="5">
        <f>+'FLUJO DE TESORERÍA '!G30</f>
        <v>660167820</v>
      </c>
      <c r="H13" s="5">
        <f>+'FLUJO DE TESORERÍA '!H30</f>
        <v>594151038</v>
      </c>
      <c r="I13" s="5">
        <f>+'FLUJO DE TESORERÍA '!I30</f>
        <v>534735934.19999999</v>
      </c>
      <c r="J13" s="5">
        <f>+'FLUJO DE TESORERÍA '!J30</f>
        <v>481262340.77999997</v>
      </c>
      <c r="K13" s="5">
        <f>+'FLUJO DE TESORERÍA '!K30</f>
        <v>433136106.70199996</v>
      </c>
      <c r="L13" s="5">
        <f>+'FLUJO DE TESORERÍA '!L30</f>
        <v>389822496.03179997</v>
      </c>
    </row>
    <row r="14" spans="1:12">
      <c r="A14" s="25" t="s">
        <v>31</v>
      </c>
      <c r="B14" s="26">
        <f>SUM(B11:B13)</f>
        <v>1343600000</v>
      </c>
      <c r="C14" s="26">
        <f t="shared" ref="C14:K14" si="2">SUM(C11:C13)</f>
        <v>1642380000</v>
      </c>
      <c r="D14" s="26">
        <f t="shared" si="2"/>
        <v>1732104000</v>
      </c>
      <c r="E14" s="26">
        <f t="shared" si="2"/>
        <v>1790158200</v>
      </c>
      <c r="F14" s="26">
        <f t="shared" si="2"/>
        <v>1906299090</v>
      </c>
      <c r="G14" s="26">
        <f t="shared" si="2"/>
        <v>2130545613.7</v>
      </c>
      <c r="H14" s="26">
        <f t="shared" si="2"/>
        <v>2037713842.1530001</v>
      </c>
      <c r="I14" s="26">
        <f t="shared" si="2"/>
        <v>1877128044.1593702</v>
      </c>
      <c r="J14" s="26">
        <f t="shared" si="2"/>
        <v>1578788668.4600074</v>
      </c>
      <c r="K14" s="26">
        <f t="shared" si="2"/>
        <v>1432165147.4775834</v>
      </c>
      <c r="L14" s="26">
        <f t="shared" ref="L14" si="3">SUM(L11:L13)</f>
        <v>1291789441.4262011</v>
      </c>
    </row>
    <row r="15" spans="1:12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23" t="s">
        <v>32</v>
      </c>
      <c r="B16" s="24">
        <f t="shared" ref="B16:K16" si="4">B9-B14</f>
        <v>-1343600000</v>
      </c>
      <c r="C16" s="24">
        <f t="shared" si="4"/>
        <v>4329749963.8203869</v>
      </c>
      <c r="D16" s="24">
        <f t="shared" si="4"/>
        <v>6945977902.1139488</v>
      </c>
      <c r="E16" s="24">
        <f t="shared" si="4"/>
        <v>9593875640.4075089</v>
      </c>
      <c r="F16" s="24">
        <f t="shared" si="4"/>
        <v>12183686688.701073</v>
      </c>
      <c r="G16" s="24">
        <f t="shared" si="4"/>
        <v>24332058769.961292</v>
      </c>
      <c r="H16" s="24">
        <f t="shared" si="4"/>
        <v>16354308843.365891</v>
      </c>
      <c r="I16" s="24">
        <f t="shared" si="4"/>
        <v>13808942703.065956</v>
      </c>
      <c r="J16" s="24">
        <f t="shared" si="4"/>
        <v>1734663473.805095</v>
      </c>
      <c r="K16" s="24">
        <f t="shared" si="4"/>
        <v>6173053829.1062164</v>
      </c>
      <c r="L16" s="24">
        <f t="shared" ref="L16" si="5">L9-L14</f>
        <v>3607477596.8640385</v>
      </c>
    </row>
    <row r="17" spans="1:12">
      <c r="A17" s="9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23" t="s">
        <v>1</v>
      </c>
      <c r="B18" s="24">
        <f>+B16</f>
        <v>-1343600000</v>
      </c>
      <c r="C18" s="24">
        <f t="shared" ref="C18:L18" si="6">+C16</f>
        <v>4329749963.8203869</v>
      </c>
      <c r="D18" s="24">
        <f t="shared" si="6"/>
        <v>6945977902.1139488</v>
      </c>
      <c r="E18" s="24">
        <f t="shared" si="6"/>
        <v>9593875640.4075089</v>
      </c>
      <c r="F18" s="24">
        <f t="shared" si="6"/>
        <v>12183686688.701073</v>
      </c>
      <c r="G18" s="24">
        <f t="shared" si="6"/>
        <v>24332058769.961292</v>
      </c>
      <c r="H18" s="24">
        <f t="shared" si="6"/>
        <v>16354308843.365891</v>
      </c>
      <c r="I18" s="24">
        <f t="shared" si="6"/>
        <v>13808942703.065956</v>
      </c>
      <c r="J18" s="24">
        <f t="shared" si="6"/>
        <v>1734663473.805095</v>
      </c>
      <c r="K18" s="24">
        <f t="shared" si="6"/>
        <v>6173053829.1062164</v>
      </c>
      <c r="L18" s="24">
        <f t="shared" si="6"/>
        <v>3607477596.8640385</v>
      </c>
    </row>
    <row r="19" spans="1:12">
      <c r="A19" s="10" t="s">
        <v>33</v>
      </c>
      <c r="B19" s="5">
        <v>0</v>
      </c>
      <c r="C19" s="5"/>
      <c r="D19" s="5"/>
      <c r="E19" s="5"/>
      <c r="F19" s="5"/>
      <c r="G19" s="5">
        <f t="shared" ref="G19:K19" si="7">G18*0.35</f>
        <v>8516220569.4864521</v>
      </c>
      <c r="H19" s="5">
        <f t="shared" si="7"/>
        <v>5724008095.1780615</v>
      </c>
      <c r="I19" s="5">
        <f t="shared" si="7"/>
        <v>4833129946.0730839</v>
      </c>
      <c r="J19" s="5"/>
      <c r="K19" s="5">
        <f t="shared" si="7"/>
        <v>2160568840.1871758</v>
      </c>
      <c r="L19" s="5">
        <f t="shared" ref="L19" si="8">L18*0.35</f>
        <v>1262617158.9024134</v>
      </c>
    </row>
    <row r="20" spans="1:12">
      <c r="A20" s="9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23" t="s">
        <v>2</v>
      </c>
      <c r="B21" s="21">
        <f>B18-B19</f>
        <v>-1343600000</v>
      </c>
      <c r="C21" s="21">
        <f t="shared" ref="C21:K21" si="9">C18-C19</f>
        <v>4329749963.8203869</v>
      </c>
      <c r="D21" s="21">
        <f t="shared" si="9"/>
        <v>6945977902.1139488</v>
      </c>
      <c r="E21" s="21">
        <f t="shared" si="9"/>
        <v>9593875640.4075089</v>
      </c>
      <c r="F21" s="21">
        <f t="shared" si="9"/>
        <v>12183686688.701073</v>
      </c>
      <c r="G21" s="21">
        <f t="shared" si="9"/>
        <v>15815838200.47484</v>
      </c>
      <c r="H21" s="21">
        <f t="shared" si="9"/>
        <v>10630300748.187828</v>
      </c>
      <c r="I21" s="21">
        <f t="shared" si="9"/>
        <v>8975812756.9928722</v>
      </c>
      <c r="J21" s="21">
        <f t="shared" si="9"/>
        <v>1734663473.805095</v>
      </c>
      <c r="K21" s="21">
        <f t="shared" si="9"/>
        <v>4012484988.9190407</v>
      </c>
      <c r="L21" s="21">
        <f t="shared" ref="L21" si="10">L18-L19</f>
        <v>2344860437.9616251</v>
      </c>
    </row>
    <row r="23" spans="1:12">
      <c r="A23" s="2" t="s">
        <v>86</v>
      </c>
      <c r="B23" s="2"/>
      <c r="C23" s="16">
        <f t="shared" ref="C23:L23" si="11">C21/C9</f>
        <v>0.72499258891724361</v>
      </c>
      <c r="D23" s="16">
        <f t="shared" si="11"/>
        <v>0.8004047415618345</v>
      </c>
      <c r="E23" s="16">
        <f t="shared" si="11"/>
        <v>0.84274834166024237</v>
      </c>
      <c r="F23" s="16">
        <f t="shared" si="11"/>
        <v>0.86470539289815107</v>
      </c>
      <c r="G23" s="16">
        <f t="shared" si="11"/>
        <v>0.59766748469549558</v>
      </c>
      <c r="H23" s="16">
        <f t="shared" si="11"/>
        <v>0.57798432124367061</v>
      </c>
      <c r="I23" s="16">
        <f t="shared" si="11"/>
        <v>0.57221549625999124</v>
      </c>
      <c r="J23" s="16">
        <f t="shared" si="11"/>
        <v>0.52352151150107307</v>
      </c>
      <c r="K23" s="16">
        <f t="shared" si="11"/>
        <v>0.52759624690273088</v>
      </c>
      <c r="L23" s="16">
        <f t="shared" si="11"/>
        <v>0.47861453961079481</v>
      </c>
    </row>
  </sheetData>
  <mergeCells count="2">
    <mergeCell ref="A2:L2"/>
    <mergeCell ref="A1:L1"/>
  </mergeCells>
  <pageMargins left="0.7" right="0.7" top="0.75" bottom="0.75" header="0.3" footer="0.3"/>
  <pageSetup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0"/>
  <sheetViews>
    <sheetView zoomScaleNormal="100" workbookViewId="0">
      <selection activeCell="A3" sqref="A3"/>
    </sheetView>
  </sheetViews>
  <sheetFormatPr baseColWidth="10" defaultRowHeight="15"/>
  <cols>
    <col min="1" max="1" width="55.140625" customWidth="1"/>
    <col min="2" max="2" width="17.42578125" bestFit="1" customWidth="1"/>
    <col min="3" max="6" width="16.7109375" bestFit="1" customWidth="1"/>
    <col min="7" max="9" width="19.140625" bestFit="1" customWidth="1"/>
    <col min="10" max="10" width="18.42578125" bestFit="1" customWidth="1"/>
    <col min="11" max="11" width="18.28515625" bestFit="1" customWidth="1"/>
    <col min="12" max="12" width="18.5703125" bestFit="1" customWidth="1"/>
  </cols>
  <sheetData>
    <row r="1" spans="1:12" ht="20.25" customHeight="1">
      <c r="A1" s="189" t="s">
        <v>77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</row>
    <row r="2" spans="1:12" ht="21.75" customHeight="1">
      <c r="A2" s="188" t="s">
        <v>279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</row>
    <row r="3" spans="1:12">
      <c r="A3" s="2" t="s">
        <v>73</v>
      </c>
      <c r="B3" s="2" t="str">
        <f>+'FLUJO DE TESORERÍA '!B3</f>
        <v>AÑO 0</v>
      </c>
      <c r="C3" s="2" t="str">
        <f>+'FLUJO DE TESORERÍA '!C3</f>
        <v>AÑO 1</v>
      </c>
      <c r="D3" s="2" t="str">
        <f>+'FLUJO DE TESORERÍA '!D3</f>
        <v>AÑO 2</v>
      </c>
      <c r="E3" s="2" t="str">
        <f>+'FLUJO DE TESORERÍA '!E3</f>
        <v>AÑO 3</v>
      </c>
      <c r="F3" s="2" t="str">
        <f>+'FLUJO DE TESORERÍA '!F3</f>
        <v>AÑO 4</v>
      </c>
      <c r="G3" s="2" t="str">
        <f>+'FLUJO DE TESORERÍA '!G3</f>
        <v>AÑO 5</v>
      </c>
      <c r="H3" s="2" t="str">
        <f>+'FLUJO DE TESORERÍA '!H3</f>
        <v>AÑO 6</v>
      </c>
      <c r="I3" s="2" t="str">
        <f>+'FLUJO DE TESORERÍA '!I3</f>
        <v>AÑO 7</v>
      </c>
      <c r="J3" s="2" t="str">
        <f>+'FLUJO DE TESORERÍA '!J3</f>
        <v>AÑO 8</v>
      </c>
      <c r="K3" s="2" t="str">
        <f>+'FLUJO DE TESORERÍA '!K3</f>
        <v>AÑO 9</v>
      </c>
      <c r="L3" s="2" t="str">
        <f>+'FLUJO DE TESORERÍA '!L3</f>
        <v>AÑO 10</v>
      </c>
    </row>
    <row r="4" spans="1:12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20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>
      <c r="A6" s="89" t="str">
        <f>'FLUJO DE TESORERÍA '!A9</f>
        <v>VENTA DE CASAS TIPO I</v>
      </c>
      <c r="B6" s="89">
        <f>'FLUJO DE TESORERÍA '!B9</f>
        <v>0</v>
      </c>
      <c r="C6" s="89">
        <f>'FLUJO DE TESORERÍA '!C9</f>
        <v>3500000000</v>
      </c>
      <c r="D6" s="89">
        <f>'FLUJO DE TESORERÍA '!D9</f>
        <v>7000000000</v>
      </c>
      <c r="E6" s="89">
        <f>'FLUJO DE TESORERÍA '!E9</f>
        <v>10500000000</v>
      </c>
      <c r="F6" s="89">
        <f>'FLUJO DE TESORERÍA '!F9</f>
        <v>14000000000</v>
      </c>
      <c r="G6" s="89">
        <f>'FLUJO DE TESORERÍA '!G9</f>
        <v>17500000000</v>
      </c>
      <c r="H6" s="89">
        <f>'FLUJO DE TESORERÍA '!H9</f>
        <v>14000000000</v>
      </c>
      <c r="I6" s="89">
        <f>'FLUJO DE TESORERÍA '!I9</f>
        <v>10500000000</v>
      </c>
      <c r="J6" s="89">
        <f>'FLUJO DE TESORERÍA '!J9</f>
        <v>7000000000</v>
      </c>
      <c r="K6" s="89">
        <f>'FLUJO DE TESORERÍA '!K9</f>
        <v>3500000000</v>
      </c>
      <c r="L6" s="89">
        <f>'FLUJO DE TESORERÍA '!L9</f>
        <v>0</v>
      </c>
    </row>
    <row r="7" spans="1:12">
      <c r="A7" s="89" t="str">
        <f>'FLUJO DE TESORERÍA '!A10</f>
        <v>VENTA DE CASAS TIPO II</v>
      </c>
      <c r="B7" s="89">
        <f>'FLUJO DE TESORERÍA '!B10</f>
        <v>0</v>
      </c>
      <c r="C7" s="89">
        <f>'FLUJO DE TESORERÍA '!C10</f>
        <v>7560000000</v>
      </c>
      <c r="D7" s="89">
        <f>'FLUJO DE TESORERÍA '!D10</f>
        <v>10080000000</v>
      </c>
      <c r="E7" s="89">
        <f>'FLUJO DE TESORERÍA '!E10</f>
        <v>12600000000</v>
      </c>
      <c r="F7" s="89">
        <f>'FLUJO DE TESORERÍA '!F10</f>
        <v>15120000000</v>
      </c>
      <c r="G7" s="89">
        <f>'FLUJO DE TESORERÍA '!G10</f>
        <v>17640000000</v>
      </c>
      <c r="H7" s="89">
        <f>'FLUJO DE TESORERÍA '!H10</f>
        <v>17640000000</v>
      </c>
      <c r="I7" s="89">
        <f>'FLUJO DE TESORERÍA '!I10</f>
        <v>15120000000</v>
      </c>
      <c r="J7" s="89">
        <f>'FLUJO DE TESORERÍA '!J10</f>
        <v>12600000000</v>
      </c>
      <c r="K7" s="89">
        <f>'FLUJO DE TESORERÍA '!K10</f>
        <v>10080000000</v>
      </c>
      <c r="L7" s="89">
        <f>'FLUJO DE TESORERÍA '!L10</f>
        <v>7560000000</v>
      </c>
    </row>
    <row r="8" spans="1:12">
      <c r="A8" s="89" t="str">
        <f>'FLUJO DE TESORERÍA '!A11</f>
        <v>VENTA DE CASAS TIPO III</v>
      </c>
      <c r="B8" s="89">
        <f>'FLUJO DE TESORERÍA '!B11</f>
        <v>0</v>
      </c>
      <c r="C8" s="89">
        <f>'FLUJO DE TESORERÍA '!C11</f>
        <v>7560000000</v>
      </c>
      <c r="D8" s="89">
        <f>'FLUJO DE TESORERÍA '!D11</f>
        <v>10080000000</v>
      </c>
      <c r="E8" s="89">
        <f>'FLUJO DE TESORERÍA '!E11</f>
        <v>12600000000</v>
      </c>
      <c r="F8" s="89">
        <f>'FLUJO DE TESORERÍA '!F11</f>
        <v>15120000000</v>
      </c>
      <c r="G8" s="89">
        <f>'FLUJO DE TESORERÍA '!G11</f>
        <v>17640000000</v>
      </c>
      <c r="H8" s="89">
        <f>'FLUJO DE TESORERÍA '!H11</f>
        <v>17640000000</v>
      </c>
      <c r="I8" s="89">
        <f>'FLUJO DE TESORERÍA '!I11</f>
        <v>15120000000</v>
      </c>
      <c r="J8" s="89">
        <f>'FLUJO DE TESORERÍA '!J11</f>
        <v>12600000000</v>
      </c>
      <c r="K8" s="89">
        <f>'FLUJO DE TESORERÍA '!K11</f>
        <v>10080000000</v>
      </c>
      <c r="L8" s="89">
        <f>'FLUJO DE TESORERÍA '!L11</f>
        <v>7560000000</v>
      </c>
    </row>
    <row r="9" spans="1:12">
      <c r="A9" s="89" t="str">
        <f>'FLUJO DE TESORERÍA '!A12</f>
        <v xml:space="preserve">VENTA HOTEL </v>
      </c>
      <c r="B9" s="89">
        <f>'FLUJO DE TESORERÍA '!B12</f>
        <v>0</v>
      </c>
      <c r="C9" s="89">
        <f>'FLUJO DE TESORERÍA '!C12</f>
        <v>0</v>
      </c>
      <c r="D9" s="89">
        <f>'FLUJO DE TESORERÍA '!D12</f>
        <v>0</v>
      </c>
      <c r="E9" s="89">
        <f>'FLUJO DE TESORERÍA '!E12</f>
        <v>0</v>
      </c>
      <c r="F9" s="89">
        <f>'FLUJO DE TESORERÍA '!F12</f>
        <v>0</v>
      </c>
      <c r="G9" s="89">
        <f>'FLUJO DE TESORERÍA '!G12</f>
        <v>9666666666.666666</v>
      </c>
      <c r="H9" s="89">
        <f>'FLUJO DE TESORERÍA '!H12</f>
        <v>9666666666.666666</v>
      </c>
      <c r="I9" s="89">
        <f>'FLUJO DE TESORERÍA '!I12</f>
        <v>9666666666.666666</v>
      </c>
      <c r="J9" s="89">
        <f>'FLUJO DE TESORERÍA '!J12</f>
        <v>0</v>
      </c>
      <c r="K9" s="89">
        <f>'FLUJO DE TESORERÍA '!K12</f>
        <v>0</v>
      </c>
      <c r="L9" s="89">
        <f>'FLUJO DE TESORERÍA '!L12</f>
        <v>0</v>
      </c>
    </row>
    <row r="10" spans="1:12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20" t="s">
        <v>6</v>
      </c>
      <c r="B11" s="21">
        <f t="shared" ref="B11:L11" si="0">+SUM(B6:B10)</f>
        <v>0</v>
      </c>
      <c r="C11" s="21">
        <f t="shared" si="0"/>
        <v>18620000000</v>
      </c>
      <c r="D11" s="21">
        <f t="shared" si="0"/>
        <v>27160000000</v>
      </c>
      <c r="E11" s="21">
        <f t="shared" si="0"/>
        <v>35700000000</v>
      </c>
      <c r="F11" s="21">
        <f t="shared" si="0"/>
        <v>44240000000</v>
      </c>
      <c r="G11" s="21">
        <f t="shared" si="0"/>
        <v>62446666666.666664</v>
      </c>
      <c r="H11" s="21">
        <f t="shared" si="0"/>
        <v>58946666666.666664</v>
      </c>
      <c r="I11" s="21">
        <f t="shared" si="0"/>
        <v>50406666666.666664</v>
      </c>
      <c r="J11" s="21">
        <f t="shared" si="0"/>
        <v>32200000000</v>
      </c>
      <c r="K11" s="21">
        <f t="shared" si="0"/>
        <v>23660000000</v>
      </c>
      <c r="L11" s="21">
        <f t="shared" si="0"/>
        <v>15120000000</v>
      </c>
    </row>
    <row r="12" spans="1: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20" t="s">
        <v>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>
      <c r="A15" s="10" t="s">
        <v>225</v>
      </c>
      <c r="B15" s="5">
        <f>+'FLUJO DE TESORERÍA '!B21</f>
        <v>0</v>
      </c>
      <c r="C15" s="5">
        <f>+'FLUJO DE TESORERÍA '!C21</f>
        <v>2104577074.4698522</v>
      </c>
      <c r="D15" s="5">
        <f>+'FLUJO DE TESORERÍA '!D21</f>
        <v>4209154148.9397044</v>
      </c>
      <c r="E15" s="5">
        <f>+'FLUJO DE TESORERÍA '!E21</f>
        <v>6313731223.4095564</v>
      </c>
      <c r="F15" s="5">
        <f>+'FLUJO DE TESORERÍA '!F21</f>
        <v>8418308297.8794088</v>
      </c>
      <c r="G15" s="5">
        <f>+'FLUJO DE TESORERÍA '!G21</f>
        <v>10522885372.34926</v>
      </c>
      <c r="H15" s="5">
        <f>+'FLUJO DE TESORERÍA '!H21</f>
        <v>8418308297.8794088</v>
      </c>
      <c r="I15" s="5">
        <f>+'FLUJO DE TESORERÍA '!I21</f>
        <v>6313731223.4095564</v>
      </c>
      <c r="J15" s="5">
        <f>+'FLUJO DE TESORERÍA '!J21</f>
        <v>4209154148.9397044</v>
      </c>
      <c r="K15" s="5">
        <f>+'FLUJO DE TESORERÍA '!K21</f>
        <v>2104577074.4698522</v>
      </c>
      <c r="L15" s="5">
        <f>+'FLUJO DE TESORERÍA '!L21</f>
        <v>0</v>
      </c>
    </row>
    <row r="16" spans="1:12">
      <c r="A16" s="10" t="s">
        <v>226</v>
      </c>
      <c r="B16" s="5">
        <f>+'FLUJO DE TESORERÍA '!B22</f>
        <v>0</v>
      </c>
      <c r="C16" s="5">
        <f>+'FLUJO DE TESORERÍA '!C22</f>
        <v>4545886480.8548803</v>
      </c>
      <c r="D16" s="5">
        <f>+'FLUJO DE TESORERÍA '!D22</f>
        <v>6061181974.4731741</v>
      </c>
      <c r="E16" s="5">
        <f>+'FLUJO DE TESORERÍA '!E22</f>
        <v>7576477468.0914679</v>
      </c>
      <c r="F16" s="5">
        <f>+'FLUJO DE TESORERÍA '!F22</f>
        <v>9091772961.7097607</v>
      </c>
      <c r="G16" s="5">
        <f>+'FLUJO DE TESORERÍA '!G22</f>
        <v>10607068455.328054</v>
      </c>
      <c r="H16" s="5">
        <f>+'FLUJO DE TESORERÍA '!H22</f>
        <v>10607068455.328054</v>
      </c>
      <c r="I16" s="5">
        <f>+'FLUJO DE TESORERÍA '!I22</f>
        <v>9091772961.7097607</v>
      </c>
      <c r="J16" s="5">
        <f>+'FLUJO DE TESORERÍA '!J22</f>
        <v>7576477468.0914679</v>
      </c>
      <c r="K16" s="5">
        <f>+'FLUJO DE TESORERÍA '!K22</f>
        <v>6061181974.4731741</v>
      </c>
      <c r="L16" s="5">
        <f>+'FLUJO DE TESORERÍA '!L22</f>
        <v>4545886480.8548803</v>
      </c>
    </row>
    <row r="17" spans="1:12">
      <c r="A17" s="10" t="s">
        <v>227</v>
      </c>
      <c r="B17" s="5">
        <f>+'FLUJO DE TESORERÍA '!B23</f>
        <v>0</v>
      </c>
      <c r="C17" s="5">
        <f>+'FLUJO DE TESORERÍA '!C23</f>
        <v>4545886480.8548803</v>
      </c>
      <c r="D17" s="5">
        <f>+'FLUJO DE TESORERÍA '!D23</f>
        <v>6061181974.4731741</v>
      </c>
      <c r="E17" s="5">
        <f>+'FLUJO DE TESORERÍA '!E23</f>
        <v>7576477468.0914679</v>
      </c>
      <c r="F17" s="5">
        <f>+'FLUJO DE TESORERÍA '!F23</f>
        <v>9091772961.7097607</v>
      </c>
      <c r="G17" s="5">
        <f>+'FLUJO DE TESORERÍA '!G23</f>
        <v>10607068455.328054</v>
      </c>
      <c r="H17" s="5">
        <f>+'FLUJO DE TESORERÍA '!H23</f>
        <v>10607068455.328054</v>
      </c>
      <c r="I17" s="5">
        <f>+'FLUJO DE TESORERÍA '!I23</f>
        <v>9091772961.7097607</v>
      </c>
      <c r="J17" s="5">
        <f>+'FLUJO DE TESORERÍA '!J23</f>
        <v>7576477468.0914679</v>
      </c>
      <c r="K17" s="5">
        <f>+'FLUJO DE TESORERÍA '!K23</f>
        <v>6061181974.4731741</v>
      </c>
      <c r="L17" s="5">
        <f>+'FLUJO DE TESORERÍA '!L23</f>
        <v>4545886480.8548803</v>
      </c>
    </row>
    <row r="18" spans="1:12">
      <c r="A18" s="29" t="s">
        <v>236</v>
      </c>
      <c r="B18" s="5">
        <f>+'FLUJO DE TESORERÍA '!B24</f>
        <v>0</v>
      </c>
      <c r="C18" s="5">
        <f>+'FLUJO DE TESORERÍA '!C24</f>
        <v>0</v>
      </c>
      <c r="D18" s="5">
        <f>+'FLUJO DE TESORERÍA '!D24</f>
        <v>0</v>
      </c>
      <c r="E18" s="5">
        <f>+'FLUJO DE TESORERÍA '!E24</f>
        <v>0</v>
      </c>
      <c r="F18" s="5">
        <f>+'FLUJO DE TESORERÍA '!F24</f>
        <v>0</v>
      </c>
      <c r="G18" s="5">
        <f>+'FLUJO DE TESORERÍA '!G24</f>
        <v>0</v>
      </c>
      <c r="H18" s="5">
        <f>+'FLUJO DE TESORERÍA '!H24</f>
        <v>6997718772.6122589</v>
      </c>
      <c r="I18" s="5">
        <f>+'FLUJO DE TESORERÍA '!I24</f>
        <v>6997718772.6122589</v>
      </c>
      <c r="J18" s="5">
        <f>+'FLUJO DE TESORERÍA '!J24</f>
        <v>6997718772.6122589</v>
      </c>
      <c r="K18" s="5">
        <f>+'FLUJO DE TESORERÍA '!K24</f>
        <v>0</v>
      </c>
      <c r="L18" s="5">
        <f>+'FLUJO DE TESORERÍA '!L24</f>
        <v>0</v>
      </c>
    </row>
    <row r="19" spans="1:12">
      <c r="A19" s="29" t="s">
        <v>264</v>
      </c>
      <c r="B19" s="5">
        <f>+'FLUJO DE TESORERÍA '!B28</f>
        <v>0</v>
      </c>
      <c r="C19" s="5">
        <f>+'FLUJO DE TESORERÍA '!C28</f>
        <v>5100000000</v>
      </c>
      <c r="D19" s="5">
        <f>+'FLUJO DE TESORERÍA '!D28</f>
        <v>0</v>
      </c>
      <c r="E19" s="5">
        <f>+'FLUJO DE TESORERÍA '!E28</f>
        <v>5100000000</v>
      </c>
      <c r="F19" s="5">
        <f>+'FLUJO DE TESORERÍA '!F28</f>
        <v>0</v>
      </c>
      <c r="G19" s="5">
        <f>+'FLUJO DE TESORERÍA '!G28</f>
        <v>0</v>
      </c>
      <c r="H19" s="5">
        <f>+'FLUJO DE TESORERÍA '!H28</f>
        <v>0</v>
      </c>
      <c r="I19" s="5">
        <f>+'FLUJO DE TESORERÍA '!I28</f>
        <v>0</v>
      </c>
      <c r="J19" s="5">
        <f>+'FLUJO DE TESORERÍA '!J28</f>
        <v>0</v>
      </c>
      <c r="K19" s="5">
        <f>+'FLUJO DE TESORERÍA '!K28</f>
        <v>0</v>
      </c>
      <c r="L19" s="5">
        <f>+'FLUJO DE TESORERÍA '!L28</f>
        <v>0</v>
      </c>
    </row>
    <row r="20" spans="1:12">
      <c r="A20" s="29" t="s">
        <v>252</v>
      </c>
      <c r="B20" s="5">
        <f>+'FLUJO DE TESORERÍA '!B29</f>
        <v>0</v>
      </c>
      <c r="C20" s="5">
        <f>+'FLUJO DE TESORERÍA '!C29</f>
        <v>0</v>
      </c>
      <c r="D20" s="5">
        <f>+'FLUJO DE TESORERÍA '!D29</f>
        <v>44400000</v>
      </c>
      <c r="E20" s="5">
        <f>+'FLUJO DE TESORERÍA '!E29</f>
        <v>46176000</v>
      </c>
      <c r="F20" s="5">
        <f>+'FLUJO DE TESORERÍA '!F29</f>
        <v>96046080</v>
      </c>
      <c r="G20" s="5">
        <f>+'FLUJO DE TESORERÍA '!G29</f>
        <v>99887923.200000003</v>
      </c>
      <c r="H20" s="5">
        <f>+'FLUJO DE TESORERÍA '!H29</f>
        <v>103883440.12800001</v>
      </c>
      <c r="I20" s="5">
        <f>+'FLUJO DE TESORERÍA '!I29</f>
        <v>108038777.73312001</v>
      </c>
      <c r="J20" s="5">
        <f>+'FLUJO DE TESORERÍA '!J29</f>
        <v>112360328.84244481</v>
      </c>
      <c r="K20" s="5">
        <f>+'FLUJO DE TESORERÍA '!K29</f>
        <v>116854741.99614261</v>
      </c>
      <c r="L20" s="5">
        <f>+'FLUJO DE TESORERÍA '!L29</f>
        <v>121528931.67598832</v>
      </c>
    </row>
    <row r="21" spans="1:12">
      <c r="A21" s="7" t="s">
        <v>11</v>
      </c>
      <c r="B21" s="5">
        <f>+'FLUJO DE TESORERÍA '!B30</f>
        <v>1118000000</v>
      </c>
      <c r="C21" s="5">
        <f>+'FLUJO DE TESORERÍA '!C30</f>
        <v>1006200000</v>
      </c>
      <c r="D21" s="5">
        <f>+'FLUJO DE TESORERÍA '!D30</f>
        <v>905580000</v>
      </c>
      <c r="E21" s="5">
        <f>+'FLUJO DE TESORERÍA '!E30</f>
        <v>815022000</v>
      </c>
      <c r="F21" s="5">
        <f>+'FLUJO DE TESORERÍA '!F30</f>
        <v>733519800</v>
      </c>
      <c r="G21" s="5">
        <f>+'FLUJO DE TESORERÍA '!G30</f>
        <v>660167820</v>
      </c>
      <c r="H21" s="5">
        <f>+'FLUJO DE TESORERÍA '!H30</f>
        <v>594151038</v>
      </c>
      <c r="I21" s="5">
        <f>+'FLUJO DE TESORERÍA '!I30</f>
        <v>534735934.19999999</v>
      </c>
      <c r="J21" s="5">
        <f>+'FLUJO DE TESORERÍA '!J30</f>
        <v>481262340.77999997</v>
      </c>
      <c r="K21" s="5">
        <f>+'FLUJO DE TESORERÍA '!K30</f>
        <v>433136106.70199996</v>
      </c>
      <c r="L21" s="5">
        <f>+'FLUJO DE TESORERÍA '!L30</f>
        <v>389822496.03179997</v>
      </c>
    </row>
    <row r="22" spans="1:12">
      <c r="A22" s="7" t="s">
        <v>19</v>
      </c>
      <c r="B22" s="5">
        <f>+'FLUJO DE TESORERÍA '!B31</f>
        <v>0</v>
      </c>
      <c r="C22" s="5">
        <f>+'FLUJO DE TESORERÍA '!C31</f>
        <v>120000000</v>
      </c>
      <c r="D22" s="5">
        <f>+'FLUJO DE TESORERÍA '!D31</f>
        <v>126000000</v>
      </c>
      <c r="E22" s="5">
        <f>+'FLUJO DE TESORERÍA '!E31</f>
        <v>132300000</v>
      </c>
      <c r="F22" s="5">
        <f>+'FLUJO DE TESORERÍA '!F31</f>
        <v>138915000</v>
      </c>
      <c r="G22" s="5">
        <f>+'FLUJO DE TESORERÍA '!G31</f>
        <v>145860750</v>
      </c>
      <c r="H22" s="5">
        <f>+'FLUJO DE TESORERÍA '!H31</f>
        <v>153153787.5</v>
      </c>
      <c r="I22" s="5">
        <f>+'FLUJO DE TESORERÍA '!I31</f>
        <v>160811476.875</v>
      </c>
      <c r="J22" s="5">
        <f>+'FLUJO DE TESORERÍA '!J31</f>
        <v>168852050.71875</v>
      </c>
      <c r="K22" s="5">
        <f>+'FLUJO DE TESORERÍA '!K31</f>
        <v>177294653.25468752</v>
      </c>
      <c r="L22" s="5">
        <f>+'FLUJO DE TESORERÍA '!L31</f>
        <v>186159385.91742191</v>
      </c>
    </row>
    <row r="23" spans="1:12">
      <c r="A23" s="7" t="s">
        <v>13</v>
      </c>
      <c r="B23" s="5">
        <f>+'FLUJO DE TESORERÍA '!B33</f>
        <v>225600000</v>
      </c>
      <c r="C23" s="5">
        <f>+'FLUJO DE TESORERÍA '!C33</f>
        <v>236880000</v>
      </c>
      <c r="D23" s="5">
        <f>+'FLUJO DE TESORERÍA '!D33</f>
        <v>248724000</v>
      </c>
      <c r="E23" s="5">
        <f>+'FLUJO DE TESORERÍA '!E33</f>
        <v>261160200</v>
      </c>
      <c r="F23" s="5">
        <f>+'FLUJO DE TESORERÍA '!F33</f>
        <v>274218210</v>
      </c>
      <c r="G23" s="5">
        <f>+'FLUJO DE TESORERÍA '!G33</f>
        <v>287929120.5</v>
      </c>
      <c r="H23" s="5">
        <f>+'FLUJO DE TESORERÍA '!H33</f>
        <v>302325576.52500004</v>
      </c>
      <c r="I23" s="5">
        <f>+'FLUJO DE TESORERÍA '!I33</f>
        <v>317441855.35125005</v>
      </c>
      <c r="J23" s="5">
        <f>+'FLUJO DE TESORERÍA '!J33</f>
        <v>333313948.11881256</v>
      </c>
      <c r="K23" s="5">
        <f>+'FLUJO DE TESORERÍA '!K33</f>
        <v>349979645.52475321</v>
      </c>
      <c r="L23" s="5">
        <f>+'FLUJO DE TESORERÍA '!L33</f>
        <v>367478627.80099088</v>
      </c>
    </row>
    <row r="24" spans="1:12">
      <c r="A24" s="7" t="s">
        <v>242</v>
      </c>
      <c r="B24" s="5">
        <f>+'FLUJO DE TESORERÍA '!B34</f>
        <v>0</v>
      </c>
      <c r="C24" s="5">
        <f>+'FLUJO DE TESORERÍA '!C34</f>
        <v>279300000</v>
      </c>
      <c r="D24" s="5">
        <f>+'FLUJO DE TESORERÍA '!D34</f>
        <v>407400000</v>
      </c>
      <c r="E24" s="5">
        <f>+'FLUJO DE TESORERÍA '!E34</f>
        <v>535500000</v>
      </c>
      <c r="F24" s="5">
        <f>+'FLUJO DE TESORERÍA '!F34</f>
        <v>663600000</v>
      </c>
      <c r="G24" s="5">
        <f>+'FLUJO DE TESORERÍA '!G34</f>
        <v>791700000</v>
      </c>
      <c r="H24" s="5">
        <f>+'FLUJO DE TESORERÍA '!H34</f>
        <v>739200000</v>
      </c>
      <c r="I24" s="5">
        <f>+'FLUJO DE TESORERÍA '!I34</f>
        <v>611100000</v>
      </c>
      <c r="J24" s="5">
        <f>+'FLUJO DE TESORERÍA '!J34</f>
        <v>483000000</v>
      </c>
      <c r="K24" s="5">
        <f>+'FLUJO DE TESORERÍA '!K34</f>
        <v>354900000</v>
      </c>
      <c r="L24" s="5">
        <f>+'FLUJO DE TESORERÍA '!L34</f>
        <v>226800000</v>
      </c>
    </row>
    <row r="25" spans="1:12">
      <c r="A25" s="7" t="s">
        <v>243</v>
      </c>
      <c r="B25" s="5">
        <f>+'FLUJO DE TESORERÍA '!B35</f>
        <v>0</v>
      </c>
      <c r="C25" s="5">
        <f>+'FLUJO DE TESORERÍA '!C35</f>
        <v>0</v>
      </c>
      <c r="D25" s="5">
        <f>+'FLUJO DE TESORERÍA '!D35</f>
        <v>0</v>
      </c>
      <c r="E25" s="5">
        <f>+'FLUJO DE TESORERÍA '!E35</f>
        <v>0</v>
      </c>
      <c r="F25" s="5">
        <f>+'FLUJO DE TESORERÍA '!F35</f>
        <v>0</v>
      </c>
      <c r="G25" s="5">
        <f>+'FLUJO DE TESORERÍA '!G35</f>
        <v>145000000</v>
      </c>
      <c r="H25" s="5">
        <f>+'FLUJO DE TESORERÍA '!H35</f>
        <v>145000000</v>
      </c>
      <c r="I25" s="5">
        <f>+'FLUJO DE TESORERÍA '!I35</f>
        <v>145000000</v>
      </c>
      <c r="J25" s="5">
        <f>+'FLUJO DE TESORERÍA '!J35</f>
        <v>0</v>
      </c>
      <c r="K25" s="5">
        <f>+'FLUJO DE TESORERÍA '!K35</f>
        <v>0</v>
      </c>
      <c r="L25" s="5">
        <f>+'FLUJO DE TESORERÍA '!L35</f>
        <v>0</v>
      </c>
    </row>
    <row r="26" spans="1:12">
      <c r="A26" s="7" t="s">
        <v>14</v>
      </c>
      <c r="B26" s="5">
        <f>+'FLUJO DE TESORERÍA '!B36</f>
        <v>0</v>
      </c>
      <c r="C26" s="5">
        <f>+'FLUJO DE TESORERÍA '!C36</f>
        <v>0</v>
      </c>
      <c r="D26" s="5">
        <f>+'FLUJO DE TESORERÍA '!D36</f>
        <v>0</v>
      </c>
      <c r="E26" s="5">
        <f>+'FLUJO DE TESORERÍA '!E36</f>
        <v>0</v>
      </c>
      <c r="F26" s="5">
        <f>+'FLUJO DE TESORERÍA '!F36</f>
        <v>0</v>
      </c>
      <c r="G26" s="5">
        <f>+'FLUJO DE TESORERÍA '!G36</f>
        <v>8516220569.4864521</v>
      </c>
      <c r="H26" s="5">
        <f>+'FLUJO DE TESORERÍA '!H36</f>
        <v>5724008095.1780615</v>
      </c>
      <c r="I26" s="5">
        <f>+'FLUJO DE TESORERÍA '!I36</f>
        <v>4833129946.0730839</v>
      </c>
      <c r="J26" s="5">
        <f>+'FLUJO DE TESORERÍA '!J36</f>
        <v>0</v>
      </c>
      <c r="K26" s="5">
        <f>+'FLUJO DE TESORERÍA '!K36</f>
        <v>2160568840.1871758</v>
      </c>
      <c r="L26" s="5">
        <f>+'FLUJO DE TESORERÍA '!L36</f>
        <v>1262617158.9024134</v>
      </c>
    </row>
    <row r="28" spans="1:12">
      <c r="A28" s="20" t="s">
        <v>15</v>
      </c>
      <c r="B28" s="21">
        <f>+SUM(B14:B27)</f>
        <v>1343600000</v>
      </c>
      <c r="C28" s="21">
        <f t="shared" ref="C28:L28" si="1">+SUM(C14:C27)</f>
        <v>17938730036.179611</v>
      </c>
      <c r="D28" s="21">
        <f t="shared" si="1"/>
        <v>18063622097.886051</v>
      </c>
      <c r="E28" s="21">
        <f t="shared" si="1"/>
        <v>28356844359.592491</v>
      </c>
      <c r="F28" s="21">
        <f t="shared" si="1"/>
        <v>28508153311.298927</v>
      </c>
      <c r="G28" s="21">
        <f t="shared" si="1"/>
        <v>42383788466.191826</v>
      </c>
      <c r="H28" s="21">
        <f t="shared" si="1"/>
        <v>44391885918.478836</v>
      </c>
      <c r="I28" s="21">
        <f t="shared" si="1"/>
        <v>38205253909.67379</v>
      </c>
      <c r="J28" s="21">
        <f t="shared" si="1"/>
        <v>27938616526.194904</v>
      </c>
      <c r="K28" s="21">
        <f t="shared" si="1"/>
        <v>17819675011.080963</v>
      </c>
      <c r="L28" s="21">
        <f t="shared" si="1"/>
        <v>11646179562.038376</v>
      </c>
    </row>
    <row r="29" spans="1:12" s="30" customFormat="1">
      <c r="A29" s="29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 s="30" customFormat="1">
      <c r="A30" s="20" t="s">
        <v>78</v>
      </c>
      <c r="B30" s="24">
        <f t="shared" ref="B30:L30" si="2">+B11-B28</f>
        <v>-1343600000</v>
      </c>
      <c r="C30" s="24">
        <f t="shared" si="2"/>
        <v>681269963.82038879</v>
      </c>
      <c r="D30" s="24">
        <f t="shared" si="2"/>
        <v>9096377902.1139488</v>
      </c>
      <c r="E30" s="24">
        <f t="shared" si="2"/>
        <v>7343155640.4075089</v>
      </c>
      <c r="F30" s="24">
        <f t="shared" si="2"/>
        <v>15731846688.701073</v>
      </c>
      <c r="G30" s="24">
        <f t="shared" si="2"/>
        <v>20062878200.474838</v>
      </c>
      <c r="H30" s="24">
        <f t="shared" si="2"/>
        <v>14554780748.187828</v>
      </c>
      <c r="I30" s="24">
        <f t="shared" si="2"/>
        <v>12201412756.992874</v>
      </c>
      <c r="J30" s="24">
        <f t="shared" si="2"/>
        <v>4261383473.8050957</v>
      </c>
      <c r="K30" s="24">
        <f t="shared" si="2"/>
        <v>5840324988.9190369</v>
      </c>
      <c r="L30" s="24">
        <f t="shared" si="2"/>
        <v>3473820437.9616241</v>
      </c>
    </row>
    <row r="31" spans="1:12" s="30" customFormat="1">
      <c r="A31" s="29" t="s">
        <v>79</v>
      </c>
      <c r="B31" s="13"/>
      <c r="C31" s="13">
        <f>C30*35%</f>
        <v>238444487.33713606</v>
      </c>
      <c r="D31" s="13">
        <f t="shared" ref="D31:K31" si="3">D30*35%</f>
        <v>3183732265.739882</v>
      </c>
      <c r="E31" s="13">
        <f t="shared" si="3"/>
        <v>2570104474.1426277</v>
      </c>
      <c r="F31" s="13">
        <f t="shared" si="3"/>
        <v>5506146341.0453749</v>
      </c>
      <c r="G31" s="13">
        <f t="shared" si="3"/>
        <v>7022007370.166193</v>
      </c>
      <c r="H31" s="13">
        <f t="shared" si="3"/>
        <v>5094173261.8657398</v>
      </c>
      <c r="I31" s="13">
        <f t="shared" si="3"/>
        <v>4270494464.9475055</v>
      </c>
      <c r="J31" s="13"/>
      <c r="K31" s="13">
        <f t="shared" si="3"/>
        <v>2044113746.1216629</v>
      </c>
      <c r="L31" s="13">
        <f t="shared" ref="L31" si="4">L30*35%</f>
        <v>1215837153.2865684</v>
      </c>
    </row>
    <row r="32" spans="1:12" s="30" customFormat="1">
      <c r="A32" s="20" t="s">
        <v>80</v>
      </c>
      <c r="B32" s="24">
        <f>B30-B31</f>
        <v>-1343600000</v>
      </c>
      <c r="C32" s="24">
        <f t="shared" ref="C32:K32" si="5">C30-C31</f>
        <v>442825476.48325276</v>
      </c>
      <c r="D32" s="24">
        <f t="shared" si="5"/>
        <v>5912645636.3740673</v>
      </c>
      <c r="E32" s="24">
        <f t="shared" si="5"/>
        <v>4773051166.2648811</v>
      </c>
      <c r="F32" s="24">
        <f t="shared" si="5"/>
        <v>10225700347.655697</v>
      </c>
      <c r="G32" s="24">
        <f t="shared" si="5"/>
        <v>13040870830.308645</v>
      </c>
      <c r="H32" s="24">
        <f t="shared" si="5"/>
        <v>9460607486.3220882</v>
      </c>
      <c r="I32" s="24">
        <f t="shared" si="5"/>
        <v>7930918292.0453682</v>
      </c>
      <c r="J32" s="24">
        <f t="shared" si="5"/>
        <v>4261383473.8050957</v>
      </c>
      <c r="K32" s="24">
        <f t="shared" si="5"/>
        <v>3796211242.7973738</v>
      </c>
      <c r="L32" s="24">
        <f t="shared" ref="L32" si="6">L30-L31</f>
        <v>2257983284.6750555</v>
      </c>
    </row>
    <row r="33" spans="1:12" s="30" customFormat="1">
      <c r="A33" s="29"/>
      <c r="B33" s="13"/>
      <c r="C33" s="13"/>
      <c r="D33" s="143"/>
      <c r="E33" s="13"/>
      <c r="F33" s="13"/>
      <c r="G33" s="13"/>
      <c r="H33" s="13"/>
      <c r="I33" s="13"/>
      <c r="J33" s="13"/>
      <c r="K33" s="13"/>
      <c r="L33" s="13"/>
    </row>
    <row r="34" spans="1:12">
      <c r="A34" s="20" t="s">
        <v>81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spans="1:12">
      <c r="A35" s="7" t="s">
        <v>8</v>
      </c>
      <c r="B35" s="5">
        <f>+'FLUJO DE TESORERÍA '!B18</f>
        <v>500000000</v>
      </c>
      <c r="C35" s="5">
        <f>+'FLUJO DE TESORERÍA '!C18</f>
        <v>0</v>
      </c>
      <c r="D35" s="5">
        <f>+'FLUJO DE TESORERÍA '!D18</f>
        <v>0</v>
      </c>
      <c r="E35" s="5">
        <f>+'FLUJO DE TESORERÍA '!E18</f>
        <v>0</v>
      </c>
      <c r="F35" s="5">
        <f>+'FLUJO DE TESORERÍA '!F18</f>
        <v>0</v>
      </c>
      <c r="G35" s="5">
        <f>+'FLUJO DE TESORERÍA '!G18</f>
        <v>0</v>
      </c>
      <c r="H35" s="5">
        <f>+'FLUJO DE TESORERÍA '!H18</f>
        <v>0</v>
      </c>
      <c r="I35" s="5">
        <f>+'FLUJO DE TESORERÍA '!I18</f>
        <v>0</v>
      </c>
      <c r="J35" s="5">
        <f>+'FLUJO DE TESORERÍA '!J18</f>
        <v>0</v>
      </c>
      <c r="K35" s="5">
        <f>+'FLUJO DE TESORERÍA '!K18</f>
        <v>0</v>
      </c>
      <c r="L35" s="5">
        <f>+'FLUJO DE TESORERÍA '!L18</f>
        <v>0</v>
      </c>
    </row>
    <row r="36" spans="1:12">
      <c r="A36" s="7" t="s">
        <v>9</v>
      </c>
      <c r="B36" s="5">
        <f>+'FLUJO DE TESORERÍA '!B19</f>
        <v>366698223.86005104</v>
      </c>
      <c r="C36" s="5">
        <f>+'FLUJO DE TESORERÍA '!C19</f>
        <v>0</v>
      </c>
      <c r="D36" s="5">
        <f>+'FLUJO DE TESORERÍA '!D19</f>
        <v>0</v>
      </c>
      <c r="E36" s="5">
        <f>+'FLUJO DE TESORERÍA '!E19</f>
        <v>0</v>
      </c>
      <c r="F36" s="5">
        <f>+'FLUJO DE TESORERÍA '!F19</f>
        <v>1305665406.5000005</v>
      </c>
      <c r="G36" s="5">
        <f>+'FLUJO DE TESORERÍA '!G19</f>
        <v>0</v>
      </c>
      <c r="H36" s="5">
        <f>+'FLUJO DE TESORERÍA '!H19</f>
        <v>0</v>
      </c>
      <c r="I36" s="5">
        <f>+'FLUJO DE TESORERÍA '!I19</f>
        <v>0</v>
      </c>
      <c r="J36" s="5">
        <f>+'FLUJO DE TESORERÍA '!J19</f>
        <v>0</v>
      </c>
      <c r="K36" s="5">
        <f>+'FLUJO DE TESORERÍA '!K19</f>
        <v>0</v>
      </c>
      <c r="L36" s="5">
        <f>+'FLUJO DE TESORERÍA '!L19</f>
        <v>0</v>
      </c>
    </row>
    <row r="37" spans="1:12">
      <c r="A37" s="7" t="s">
        <v>10</v>
      </c>
      <c r="B37" s="5">
        <f>+'FLUJO DE TESORERÍA '!B20</f>
        <v>6720000000</v>
      </c>
      <c r="C37" s="5">
        <f>+'FLUJO DE TESORERÍA '!C20</f>
        <v>6720000000</v>
      </c>
      <c r="D37" s="5">
        <f>+'FLUJO DE TESORERÍA '!D20</f>
        <v>6720000000</v>
      </c>
      <c r="E37" s="5">
        <f>+'FLUJO DE TESORERÍA '!E20</f>
        <v>6720000000</v>
      </c>
      <c r="F37" s="5">
        <f>+'FLUJO DE TESORERÍA '!F20</f>
        <v>0</v>
      </c>
      <c r="G37" s="5">
        <f>+'FLUJO DE TESORERÍA '!G20</f>
        <v>0</v>
      </c>
      <c r="H37" s="5">
        <f>+'FLUJO DE TESORERÍA '!H20</f>
        <v>0</v>
      </c>
      <c r="I37" s="5">
        <f>+'FLUJO DE TESORERÍA '!I20</f>
        <v>0</v>
      </c>
      <c r="J37" s="5">
        <f>+'FLUJO DE TESORERÍA '!J20</f>
        <v>0</v>
      </c>
      <c r="K37" s="5">
        <f>+'FLUJO DE TESORERÍA '!K20</f>
        <v>0</v>
      </c>
      <c r="L37" s="5">
        <f>+'FLUJO DE TESORERÍA '!L20</f>
        <v>0</v>
      </c>
    </row>
    <row r="38" spans="1:12">
      <c r="A38" s="29" t="s">
        <v>263</v>
      </c>
      <c r="B38" s="5">
        <f>+'FLUJO DE TESORERÍA '!B27</f>
        <v>2000000000</v>
      </c>
      <c r="C38" s="5">
        <f>+'FLUJO DE TESORERÍA '!C27</f>
        <v>0</v>
      </c>
      <c r="D38" s="5">
        <f>+'FLUJO DE TESORERÍA '!D27</f>
        <v>0</v>
      </c>
      <c r="E38" s="5">
        <f>+'FLUJO DE TESORERÍA '!E27</f>
        <v>0</v>
      </c>
      <c r="F38" s="5">
        <f>+'FLUJO DE TESORERÍA '!F27</f>
        <v>0</v>
      </c>
      <c r="G38" s="5">
        <f>+'FLUJO DE TESORERÍA '!G27</f>
        <v>0</v>
      </c>
      <c r="H38" s="5">
        <f>+'FLUJO DE TESORERÍA '!H27</f>
        <v>0</v>
      </c>
      <c r="I38" s="5">
        <f>+'FLUJO DE TESORERÍA '!I27</f>
        <v>0</v>
      </c>
      <c r="J38" s="5">
        <f>+'FLUJO DE TESORERÍA '!J27</f>
        <v>0</v>
      </c>
      <c r="K38" s="5">
        <f>+'FLUJO DE TESORERÍA '!K27</f>
        <v>0</v>
      </c>
      <c r="L38" s="5">
        <f>+'FLUJO DE TESORERÍA '!L27</f>
        <v>0</v>
      </c>
    </row>
    <row r="39" spans="1:12">
      <c r="A39" s="141" t="s">
        <v>278</v>
      </c>
      <c r="B39" s="5">
        <f>+'FLUJO DE TESORERÍA '!B25</f>
        <v>0</v>
      </c>
      <c r="C39" s="5">
        <f>+'FLUJO DE TESORERÍA '!C25</f>
        <v>254800000.00000003</v>
      </c>
      <c r="D39" s="5">
        <f>+'FLUJO DE TESORERÍA '!D25</f>
        <v>0</v>
      </c>
      <c r="E39" s="5">
        <f>+'FLUJO DE TESORERÍA '!E25</f>
        <v>0</v>
      </c>
      <c r="F39" s="5">
        <f>+'FLUJO DE TESORERÍA '!F25</f>
        <v>0</v>
      </c>
      <c r="G39" s="5">
        <f>+'FLUJO DE TESORERÍA '!G25</f>
        <v>0</v>
      </c>
      <c r="H39" s="5">
        <f>+'FLUJO DE TESORERÍA '!H25</f>
        <v>0</v>
      </c>
      <c r="I39" s="5">
        <f>+'FLUJO DE TESORERÍA '!I25</f>
        <v>0</v>
      </c>
      <c r="J39" s="5">
        <f>+'FLUJO DE TESORERÍA '!J25</f>
        <v>0</v>
      </c>
      <c r="K39" s="5">
        <f>+'FLUJO DE TESORERÍA '!K25</f>
        <v>0</v>
      </c>
      <c r="L39" s="5">
        <f>+'FLUJO DE TESORERÍA '!L25</f>
        <v>0</v>
      </c>
    </row>
    <row r="40" spans="1:12">
      <c r="A40" s="29" t="s">
        <v>265</v>
      </c>
      <c r="B40" s="5">
        <f>+'FLUJO DE TESORERÍA '!B26</f>
        <v>0</v>
      </c>
      <c r="C40" s="5">
        <f>+'FLUJO DE TESORERÍA '!C26</f>
        <v>0</v>
      </c>
      <c r="D40" s="5">
        <f>+'FLUJO DE TESORERÍA '!D26</f>
        <v>2800000000</v>
      </c>
      <c r="E40" s="5">
        <f>+'FLUJO DE TESORERÍA '!E26</f>
        <v>0</v>
      </c>
      <c r="F40" s="5">
        <f>+'FLUJO DE TESORERÍA '!F26</f>
        <v>0</v>
      </c>
      <c r="G40" s="5">
        <f>+'FLUJO DE TESORERÍA '!G26</f>
        <v>0</v>
      </c>
      <c r="H40" s="5">
        <f>+'FLUJO DE TESORERÍA '!H26</f>
        <v>0</v>
      </c>
      <c r="I40" s="5">
        <f>+'FLUJO DE TESORERÍA '!I26</f>
        <v>0</v>
      </c>
      <c r="J40" s="5">
        <f>+'FLUJO DE TESORERÍA '!J26</f>
        <v>0</v>
      </c>
      <c r="K40" s="5">
        <f>+'FLUJO DE TESORERÍA '!K26</f>
        <v>0</v>
      </c>
      <c r="L40" s="5">
        <f>+'FLUJO DE TESORERÍA '!L26</f>
        <v>0</v>
      </c>
    </row>
    <row r="41" spans="1:12">
      <c r="A41" s="7" t="s">
        <v>12</v>
      </c>
      <c r="B41" s="5">
        <f>+'FLUJO DE TESORERÍA '!B32</f>
        <v>811900000</v>
      </c>
      <c r="C41" s="5">
        <f>+'FLUJO DE TESORERÍA '!C32</f>
        <v>0</v>
      </c>
      <c r="D41" s="5">
        <f>+'FLUJO DE TESORERÍA '!D32</f>
        <v>0</v>
      </c>
      <c r="E41" s="5">
        <f>+'FLUJO DE TESORERÍA '!E32</f>
        <v>0</v>
      </c>
      <c r="F41" s="5">
        <f>+'FLUJO DE TESORERÍA '!F32</f>
        <v>0</v>
      </c>
      <c r="G41" s="5">
        <f>+'FLUJO DE TESORERÍA '!G32</f>
        <v>0</v>
      </c>
      <c r="H41" s="5">
        <f>+'FLUJO DE TESORERÍA '!H32</f>
        <v>0</v>
      </c>
      <c r="I41" s="5">
        <f>+'FLUJO DE TESORERÍA '!I32</f>
        <v>0</v>
      </c>
      <c r="J41" s="5">
        <f>+'FLUJO DE TESORERÍA '!J32</f>
        <v>0</v>
      </c>
      <c r="K41" s="5">
        <f>+'FLUJO DE TESORERÍA '!K32</f>
        <v>0</v>
      </c>
      <c r="L41" s="5">
        <f>+'FLUJO DE TESORERÍA '!L32</f>
        <v>0</v>
      </c>
    </row>
    <row r="42" spans="1:12">
      <c r="A42" s="7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</row>
    <row r="43" spans="1:12">
      <c r="A43" s="20" t="s">
        <v>82</v>
      </c>
      <c r="B43" s="21">
        <f>SUM(B35:B42)</f>
        <v>10398598223.86005</v>
      </c>
      <c r="C43" s="21">
        <f t="shared" ref="C43:L43" si="7">SUM(C35:C42)</f>
        <v>6974800000</v>
      </c>
      <c r="D43" s="21">
        <f t="shared" si="7"/>
        <v>9520000000</v>
      </c>
      <c r="E43" s="21">
        <f t="shared" si="7"/>
        <v>6720000000</v>
      </c>
      <c r="F43" s="21">
        <f t="shared" si="7"/>
        <v>1305665406.5000005</v>
      </c>
      <c r="G43" s="21">
        <f t="shared" si="7"/>
        <v>0</v>
      </c>
      <c r="H43" s="21">
        <f t="shared" si="7"/>
        <v>0</v>
      </c>
      <c r="I43" s="21">
        <f t="shared" si="7"/>
        <v>0</v>
      </c>
      <c r="J43" s="21">
        <f t="shared" si="7"/>
        <v>0</v>
      </c>
      <c r="K43" s="21">
        <f t="shared" si="7"/>
        <v>0</v>
      </c>
      <c r="L43" s="21">
        <f t="shared" si="7"/>
        <v>0</v>
      </c>
    </row>
    <row r="44" spans="1:12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>
      <c r="A45" s="20" t="s">
        <v>83</v>
      </c>
      <c r="B45" s="21">
        <f t="shared" ref="B45:L45" si="8">B32-B43</f>
        <v>-11742198223.86005</v>
      </c>
      <c r="C45" s="21">
        <f t="shared" si="8"/>
        <v>-6531974523.5167475</v>
      </c>
      <c r="D45" s="21">
        <f t="shared" si="8"/>
        <v>-3607354363.6259327</v>
      </c>
      <c r="E45" s="21">
        <f t="shared" si="8"/>
        <v>-1946948833.7351189</v>
      </c>
      <c r="F45" s="21">
        <f t="shared" si="8"/>
        <v>8920034941.1556969</v>
      </c>
      <c r="G45" s="21">
        <f t="shared" si="8"/>
        <v>13040870830.308645</v>
      </c>
      <c r="H45" s="21">
        <f t="shared" si="8"/>
        <v>9460607486.3220882</v>
      </c>
      <c r="I45" s="21">
        <f t="shared" si="8"/>
        <v>7930918292.0453682</v>
      </c>
      <c r="J45" s="21">
        <f t="shared" si="8"/>
        <v>4261383473.8050957</v>
      </c>
      <c r="K45" s="21">
        <f t="shared" si="8"/>
        <v>3796211242.7973738</v>
      </c>
      <c r="L45" s="21">
        <f t="shared" si="8"/>
        <v>2257983284.6750555</v>
      </c>
    </row>
    <row r="46" spans="1:12" s="30" customFormat="1" ht="15.75" thickBot="1">
      <c r="A46"/>
      <c r="B46" s="31"/>
      <c r="C46" s="31"/>
      <c r="D46" s="31"/>
      <c r="E46" s="31"/>
      <c r="F46" s="31"/>
      <c r="G46" s="31"/>
      <c r="H46" s="31"/>
      <c r="I46" s="31"/>
      <c r="J46" s="31"/>
      <c r="K46" s="31"/>
    </row>
    <row r="47" spans="1:12">
      <c r="A47" s="66" t="s">
        <v>171</v>
      </c>
      <c r="B47" s="67">
        <v>0.21</v>
      </c>
      <c r="C47" s="4"/>
    </row>
    <row r="48" spans="1:12">
      <c r="A48" s="68" t="s">
        <v>84</v>
      </c>
      <c r="B48" s="69">
        <f>NPV($B$47,F45:L45)+B45+C45+D45+E45</f>
        <v>4937777474.1161213</v>
      </c>
      <c r="D48" s="33"/>
    </row>
    <row r="49" spans="1:2" ht="15.75" thickBot="1">
      <c r="A49" s="70" t="s">
        <v>85</v>
      </c>
      <c r="B49" s="71">
        <f>+IRR(B45:L45,B47)</f>
        <v>0.15270410990743144</v>
      </c>
    </row>
    <row r="50" spans="1:2">
      <c r="B50" s="14"/>
    </row>
  </sheetData>
  <mergeCells count="2">
    <mergeCell ref="A2:L2"/>
    <mergeCell ref="A1:L1"/>
  </mergeCells>
  <pageMargins left="0.7" right="0.7" top="0.75" bottom="0.75" header="0.3" footer="0.3"/>
  <pageSetup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DATOS GENERALES</vt:lpstr>
      <vt:lpstr>ESTRUCTURA FINANCIERA</vt:lpstr>
      <vt:lpstr>FLUJO DE TESORERÍA </vt:lpstr>
      <vt:lpstr>BALANCE</vt:lpstr>
      <vt:lpstr>ESTADO DE RESULTADOS</vt:lpstr>
      <vt:lpstr>FLUJO DE CAJA DEL PROYECTO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Bonilla</dc:creator>
  <cp:lastModifiedBy>Jorge Bonilla</cp:lastModifiedBy>
  <cp:lastPrinted>2010-07-01T05:35:37Z</cp:lastPrinted>
  <dcterms:created xsi:type="dcterms:W3CDTF">2010-06-22T19:21:26Z</dcterms:created>
  <dcterms:modified xsi:type="dcterms:W3CDTF">2010-09-10T05:27:16Z</dcterms:modified>
</cp:coreProperties>
</file>