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defaultThemeVersion="166925"/>
  <mc:AlternateContent xmlns:mc="http://schemas.openxmlformats.org/markup-compatibility/2006">
    <mc:Choice Requires="x15">
      <x15ac:absPath xmlns:x15ac="http://schemas.microsoft.com/office/spreadsheetml/2010/11/ac" url="/Users/sergiopinerosbotero/Desktop/"/>
    </mc:Choice>
  </mc:AlternateContent>
  <xr:revisionPtr revIDLastSave="0" documentId="8_{CAA395B0-528B-F542-9CD6-9DFE2FE7F7E1}" xr6:coauthVersionLast="36" xr6:coauthVersionMax="36" xr10:uidLastSave="{00000000-0000-0000-0000-000000000000}"/>
  <bookViews>
    <workbookView xWindow="0" yWindow="500" windowWidth="50080" windowHeight="26740" activeTab="3" xr2:uid="{43BB41A2-96B8-884E-8D94-EE4B22571FCA}"/>
  </bookViews>
  <sheets>
    <sheet name="Cuadro General" sheetId="1" r:id="rId1"/>
    <sheet name="Reparto C&amp;B" sheetId="3" r:id="rId2"/>
    <sheet name="Programa" sheetId="4" r:id="rId3"/>
    <sheet name="TIR" sheetId="5"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5" l="1"/>
  <c r="F7" i="5"/>
  <c r="F8" i="5"/>
  <c r="F9" i="5"/>
  <c r="F10" i="5"/>
  <c r="F11" i="5"/>
  <c r="F12" i="5"/>
  <c r="F13" i="5"/>
  <c r="F14" i="5"/>
  <c r="F15" i="5"/>
  <c r="F16" i="5"/>
  <c r="F6" i="5"/>
  <c r="F18" i="5" s="1"/>
  <c r="E16" i="5"/>
  <c r="D16" i="5"/>
  <c r="AC37" i="4"/>
  <c r="AE37" i="4"/>
  <c r="AG37" i="4"/>
  <c r="AH37" i="4"/>
  <c r="AI37" i="4"/>
  <c r="AK37" i="4"/>
  <c r="AM37" i="4"/>
  <c r="AO37" i="4"/>
  <c r="AA37" i="4"/>
  <c r="AE33" i="4"/>
  <c r="AG33" i="4"/>
  <c r="AI33" i="4"/>
  <c r="AJ33" i="4"/>
  <c r="AK33" i="4"/>
  <c r="AM33" i="4"/>
  <c r="AC33" i="4"/>
  <c r="Y27" i="4"/>
  <c r="AA27" i="4"/>
  <c r="AC27" i="4"/>
  <c r="AD27" i="4"/>
  <c r="AE27" i="4"/>
  <c r="AF27" i="4"/>
  <c r="AG27" i="4"/>
  <c r="AI27" i="4"/>
  <c r="AK27" i="4"/>
  <c r="AM27" i="4"/>
  <c r="AO27" i="4"/>
  <c r="AP27" i="4"/>
  <c r="W27" i="4"/>
  <c r="AG22" i="4"/>
  <c r="AI22" i="4"/>
  <c r="AK22" i="4"/>
  <c r="AE22" i="4"/>
  <c r="AJ48" i="4"/>
  <c r="AH48" i="4"/>
  <c r="AF48" i="4"/>
  <c r="AN47" i="4"/>
  <c r="AN46" i="4"/>
  <c r="AN45" i="4"/>
  <c r="AF44" i="4"/>
  <c r="AL43" i="4"/>
  <c r="AL37" i="4" s="1"/>
  <c r="AJ43" i="4"/>
  <c r="AD42" i="4"/>
  <c r="AB42" i="4"/>
  <c r="AP41" i="4"/>
  <c r="AP37" i="4" s="1"/>
  <c r="AN41" i="4"/>
  <c r="AN37" i="4" s="1"/>
  <c r="AL41" i="4"/>
  <c r="AJ41" i="4"/>
  <c r="AJ37" i="4" s="1"/>
  <c r="AD40" i="4"/>
  <c r="AD37" i="4" s="1"/>
  <c r="AF40" i="4"/>
  <c r="AF37" i="4" s="1"/>
  <c r="AH39" i="4"/>
  <c r="AB38" i="4"/>
  <c r="AB37" i="4" s="1"/>
  <c r="AN36" i="4"/>
  <c r="AN33" i="4" s="1"/>
  <c r="AL36" i="4"/>
  <c r="AL33" i="4" s="1"/>
  <c r="AJ36" i="4"/>
  <c r="AH36" i="4"/>
  <c r="AH33" i="4" s="1"/>
  <c r="AF35" i="4"/>
  <c r="AF33" i="4" s="1"/>
  <c r="AD34" i="4"/>
  <c r="AD33" i="4" s="1"/>
  <c r="AP32" i="4"/>
  <c r="AN32" i="4"/>
  <c r="AL32" i="4"/>
  <c r="AD30" i="4"/>
  <c r="AB30" i="4"/>
  <c r="AB27" i="4" s="1"/>
  <c r="Z30" i="4"/>
  <c r="Z27" i="4" s="1"/>
  <c r="X30" i="4"/>
  <c r="X27" i="4" s="1"/>
  <c r="AN29" i="4"/>
  <c r="AL29" i="4"/>
  <c r="AJ29" i="4"/>
  <c r="AH29" i="4"/>
  <c r="AH27" i="4" s="1"/>
  <c r="AN28" i="4"/>
  <c r="AN27" i="4" s="1"/>
  <c r="AL28" i="4"/>
  <c r="AJ28" i="4"/>
  <c r="AJ27" i="4" s="1"/>
  <c r="AL31" i="4"/>
  <c r="AL27" i="4" s="1"/>
  <c r="AJ31" i="4"/>
  <c r="AH31" i="4"/>
  <c r="AL26" i="4"/>
  <c r="AJ26" i="4"/>
  <c r="AH26" i="4"/>
  <c r="AF26" i="4"/>
  <c r="AF25" i="4"/>
  <c r="F20" i="5" l="1"/>
  <c r="J17" i="5"/>
  <c r="J13" i="5"/>
  <c r="J9" i="5"/>
  <c r="J5" i="5"/>
  <c r="J20" i="5"/>
  <c r="F19" i="5"/>
  <c r="J18" i="5"/>
  <c r="J16" i="5"/>
  <c r="J14" i="5"/>
  <c r="J12" i="5"/>
  <c r="J10" i="5"/>
  <c r="J8" i="5"/>
  <c r="J6" i="5"/>
  <c r="J19" i="5"/>
  <c r="J15" i="5"/>
  <c r="J11" i="5"/>
  <c r="J7" i="5"/>
  <c r="AL25" i="4"/>
  <c r="AJ25" i="4"/>
  <c r="AH25" i="4"/>
  <c r="AL24" i="4"/>
  <c r="AJ24" i="4"/>
  <c r="AH24" i="4"/>
  <c r="AF24" i="4"/>
  <c r="AF23" i="4"/>
  <c r="AF22" i="4" s="1"/>
  <c r="AL23" i="4"/>
  <c r="AJ23" i="4"/>
  <c r="AJ22" i="4" s="1"/>
  <c r="AH23" i="4"/>
  <c r="AH22" i="4" s="1"/>
  <c r="D118" i="3"/>
  <c r="I117" i="3"/>
  <c r="I120" i="3"/>
  <c r="D121" i="3"/>
  <c r="D119" i="3"/>
  <c r="I119" i="3"/>
  <c r="I121" i="3"/>
  <c r="I8" i="4"/>
  <c r="E48" i="1"/>
  <c r="E49" i="1"/>
  <c r="E50" i="1"/>
  <c r="E51" i="1"/>
  <c r="E47" i="1"/>
  <c r="E21" i="1"/>
  <c r="H21" i="3"/>
  <c r="AL22" i="4" l="1"/>
  <c r="I118" i="3"/>
  <c r="M122" i="3"/>
  <c r="D117" i="3"/>
  <c r="D120" i="3"/>
  <c r="F24" i="3"/>
  <c r="F26" i="3"/>
  <c r="F27" i="3"/>
  <c r="F29" i="3"/>
  <c r="F21" i="3"/>
  <c r="D122" i="3" l="1"/>
  <c r="B50" i="3"/>
  <c r="B49" i="3"/>
  <c r="B48" i="3"/>
  <c r="B47" i="3"/>
  <c r="B46" i="3"/>
  <c r="F30" i="3"/>
  <c r="G29" i="3" s="1"/>
  <c r="C30" i="3"/>
  <c r="F4" i="3"/>
  <c r="G4" i="3" s="1"/>
  <c r="B17" i="3"/>
  <c r="F16" i="3"/>
  <c r="G16" i="3" s="1"/>
  <c r="F8" i="3"/>
  <c r="G8" i="3" s="1"/>
  <c r="F7" i="3"/>
  <c r="G7" i="3" s="1"/>
  <c r="F6" i="3"/>
  <c r="G6" i="3" s="1"/>
  <c r="F5" i="3"/>
  <c r="G5" i="3" s="1"/>
  <c r="F10" i="3"/>
  <c r="G10" i="3" s="1"/>
  <c r="F12" i="3"/>
  <c r="G12" i="3" s="1"/>
  <c r="F15" i="3"/>
  <c r="G15" i="3" s="1"/>
  <c r="F9" i="3"/>
  <c r="G9" i="3" s="1"/>
  <c r="F13" i="3"/>
  <c r="G13" i="3" s="1"/>
  <c r="G24" i="3" l="1"/>
  <c r="G26" i="3"/>
  <c r="G27" i="3"/>
  <c r="G21" i="3"/>
  <c r="C4" i="3"/>
  <c r="F14" i="3"/>
  <c r="G14" i="3" s="1"/>
  <c r="F11" i="3"/>
  <c r="G11" i="3" s="1"/>
  <c r="G17" i="3" l="1"/>
  <c r="F17" i="3"/>
  <c r="C13" i="3"/>
  <c r="C16" i="3"/>
  <c r="C15" i="3"/>
  <c r="C14" i="3"/>
  <c r="C11" i="3"/>
  <c r="C10" i="3"/>
  <c r="C8" i="3"/>
  <c r="C6" i="3"/>
  <c r="C7" i="3"/>
  <c r="C9" i="3"/>
  <c r="C5" i="3"/>
  <c r="C12" i="3"/>
  <c r="D135" i="3" l="1"/>
  <c r="H14" i="3"/>
  <c r="D134" i="3"/>
  <c r="H13" i="3"/>
  <c r="H12" i="3"/>
  <c r="H16" i="3"/>
  <c r="H10" i="3"/>
  <c r="H9" i="3"/>
  <c r="H6" i="3"/>
  <c r="H5" i="3"/>
  <c r="H7" i="3"/>
  <c r="H8" i="3"/>
  <c r="H4" i="3"/>
  <c r="H15" i="3"/>
  <c r="H11" i="3"/>
  <c r="C17" i="3"/>
  <c r="H17" i="3" l="1"/>
  <c r="N41" i="3" l="1"/>
  <c r="H41" i="3"/>
  <c r="C69" i="1" l="1"/>
  <c r="D17" i="1"/>
  <c r="E11" i="1" l="1"/>
  <c r="E8" i="1"/>
  <c r="E10" i="1"/>
  <c r="E12" i="1"/>
  <c r="E37" i="1"/>
  <c r="E41" i="1"/>
  <c r="E20" i="1"/>
  <c r="E7" i="1"/>
  <c r="E45" i="1"/>
  <c r="E31" i="1"/>
  <c r="E39" i="1"/>
  <c r="E26" i="1"/>
  <c r="E32" i="1"/>
  <c r="E43" i="1"/>
  <c r="E38" i="1"/>
  <c r="E19" i="1"/>
  <c r="E28" i="1"/>
  <c r="E35" i="1"/>
  <c r="E40" i="1"/>
  <c r="E3" i="1"/>
  <c r="E16" i="1"/>
  <c r="E15" i="1"/>
  <c r="E27" i="1"/>
  <c r="E44" i="1"/>
  <c r="E18" i="1"/>
  <c r="E29" i="1"/>
  <c r="E25" i="1"/>
  <c r="E33" i="1"/>
  <c r="E42" i="1"/>
  <c r="E36" i="1"/>
  <c r="E9" i="1"/>
  <c r="E5" i="1"/>
  <c r="E6" i="1"/>
  <c r="D34" i="1"/>
  <c r="D13" i="1"/>
  <c r="G135" i="3" s="1"/>
  <c r="D24" i="1"/>
  <c r="D56" i="1" s="1"/>
  <c r="D30" i="1"/>
  <c r="D57" i="1" s="1"/>
  <c r="F87" i="3"/>
  <c r="E87" i="3"/>
  <c r="D87" i="3"/>
  <c r="C87" i="3"/>
  <c r="B87" i="3"/>
  <c r="L41" i="3"/>
  <c r="J41" i="3"/>
  <c r="F41" i="3"/>
  <c r="D41" i="3"/>
  <c r="B41" i="3"/>
  <c r="H25" i="3"/>
  <c r="H24" i="3"/>
  <c r="H23" i="3"/>
  <c r="H22" i="3"/>
  <c r="H28" i="3"/>
  <c r="H27" i="3"/>
  <c r="F21" i="1" l="1"/>
  <c r="F49" i="1"/>
  <c r="F48" i="1"/>
  <c r="F47" i="1"/>
  <c r="F51" i="1"/>
  <c r="F50" i="1"/>
  <c r="I27" i="3"/>
  <c r="C120" i="3" s="1"/>
  <c r="I21" i="3"/>
  <c r="C117" i="3" s="1"/>
  <c r="D26" i="3"/>
  <c r="E26" i="3" s="1"/>
  <c r="H26" i="3"/>
  <c r="I26" i="3" s="1"/>
  <c r="C119" i="3" s="1"/>
  <c r="D29" i="3"/>
  <c r="E29" i="3" s="1"/>
  <c r="H29" i="3"/>
  <c r="I29" i="3" s="1"/>
  <c r="C121" i="3" s="1"/>
  <c r="D21" i="3"/>
  <c r="E21" i="3" s="1"/>
  <c r="D27" i="3"/>
  <c r="E27" i="3" s="1"/>
  <c r="D24" i="3"/>
  <c r="D70" i="1"/>
  <c r="E30" i="1"/>
  <c r="D71" i="1"/>
  <c r="H79" i="1" s="1"/>
  <c r="E24" i="1"/>
  <c r="E34" i="1"/>
  <c r="F41" i="1"/>
  <c r="E4" i="1"/>
  <c r="D23" i="1"/>
  <c r="C57" i="3" l="1"/>
  <c r="E57" i="3" s="1"/>
  <c r="H81" i="1"/>
  <c r="C56" i="3"/>
  <c r="E56" i="3" s="1"/>
  <c r="F20" i="1"/>
  <c r="F37" i="1"/>
  <c r="I24" i="3"/>
  <c r="E24" i="3"/>
  <c r="E30" i="3" s="1"/>
  <c r="H30" i="3"/>
  <c r="D30" i="3"/>
  <c r="F57" i="1"/>
  <c r="D14" i="1"/>
  <c r="F17" i="1"/>
  <c r="E17" i="1"/>
  <c r="E13" i="1"/>
  <c r="F16" i="1"/>
  <c r="F15" i="1"/>
  <c r="F13" i="1"/>
  <c r="F31" i="1"/>
  <c r="F26" i="1"/>
  <c r="F35" i="1"/>
  <c r="F40" i="1"/>
  <c r="F33" i="1"/>
  <c r="F42" i="1"/>
  <c r="F45" i="1"/>
  <c r="F38" i="1"/>
  <c r="F32" i="1"/>
  <c r="F43" i="1"/>
  <c r="F27" i="1"/>
  <c r="F44" i="1"/>
  <c r="F19" i="1"/>
  <c r="F18" i="1"/>
  <c r="F36" i="1"/>
  <c r="F25" i="1"/>
  <c r="F29" i="1"/>
  <c r="F39" i="1"/>
  <c r="F28" i="1"/>
  <c r="F24" i="1"/>
  <c r="F30" i="1"/>
  <c r="F34" i="1"/>
  <c r="F23" i="1"/>
  <c r="E23" i="1"/>
  <c r="C70" i="1"/>
  <c r="C71" i="1"/>
  <c r="G30" i="3"/>
  <c r="D72" i="1"/>
  <c r="B51" i="3"/>
  <c r="I30" i="3" l="1"/>
  <c r="J27" i="3" s="1"/>
  <c r="C118" i="3"/>
  <c r="J26" i="3"/>
  <c r="J21" i="3"/>
  <c r="J29" i="3"/>
  <c r="J24" i="3"/>
  <c r="D22" i="1"/>
  <c r="D55" i="1"/>
  <c r="G57" i="1" s="1"/>
  <c r="F14" i="1"/>
  <c r="E14" i="1"/>
  <c r="J22" i="3"/>
  <c r="C72" i="1"/>
  <c r="C73" i="1" s="1"/>
  <c r="C58" i="3"/>
  <c r="D73" i="1"/>
  <c r="E71" i="1" s="1"/>
  <c r="J28" i="3"/>
  <c r="J25" i="3"/>
  <c r="J23" i="3"/>
  <c r="H134" i="3" l="1"/>
  <c r="H135" i="3"/>
  <c r="G41" i="1"/>
  <c r="G50" i="1"/>
  <c r="G47" i="1"/>
  <c r="G49" i="1"/>
  <c r="G51" i="1"/>
  <c r="G48" i="1"/>
  <c r="G26" i="1"/>
  <c r="G31" i="1"/>
  <c r="G36" i="1"/>
  <c r="G27" i="1"/>
  <c r="G43" i="1"/>
  <c r="D46" i="1"/>
  <c r="E22" i="1"/>
  <c r="G22" i="1"/>
  <c r="G37" i="1"/>
  <c r="G24" i="1"/>
  <c r="G30" i="1"/>
  <c r="J30" i="3"/>
  <c r="G45" i="1"/>
  <c r="G39" i="1"/>
  <c r="G32" i="1"/>
  <c r="G34" i="1"/>
  <c r="G33" i="1"/>
  <c r="G35" i="1"/>
  <c r="G29" i="1"/>
  <c r="G25" i="1"/>
  <c r="F22" i="1"/>
  <c r="G23" i="1"/>
  <c r="G42" i="1"/>
  <c r="G40" i="1"/>
  <c r="G28" i="1"/>
  <c r="G44" i="1"/>
  <c r="G38" i="1"/>
  <c r="F56" i="1"/>
  <c r="F55" i="1"/>
  <c r="E58" i="3"/>
  <c r="E59" i="3" s="1"/>
  <c r="C59" i="3"/>
  <c r="E70" i="1"/>
  <c r="E72" i="1"/>
  <c r="E73" i="1"/>
  <c r="G134" i="3"/>
  <c r="H119" i="3" l="1"/>
  <c r="H121" i="3"/>
  <c r="H118" i="3"/>
  <c r="H117" i="3"/>
  <c r="H120" i="3"/>
  <c r="I134" i="3"/>
  <c r="I135" i="3"/>
  <c r="F46" i="1"/>
  <c r="G46" i="1"/>
  <c r="E46" i="1"/>
  <c r="D52" i="1"/>
  <c r="D67" i="1"/>
  <c r="C95" i="1" s="1"/>
  <c r="D95" i="1" s="1"/>
  <c r="D63" i="1"/>
  <c r="C91" i="1" s="1"/>
  <c r="E91" i="1" s="1"/>
  <c r="D66" i="1"/>
  <c r="C94" i="1" s="1"/>
  <c r="D62" i="1"/>
  <c r="C90" i="1" s="1"/>
  <c r="E90" i="1" s="1"/>
  <c r="D65" i="1"/>
  <c r="C93" i="1" s="1"/>
  <c r="E93" i="1" s="1"/>
  <c r="D68" i="1"/>
  <c r="C96" i="1" s="1"/>
  <c r="D64" i="1"/>
  <c r="C92" i="1" s="1"/>
  <c r="D92" i="1" s="1"/>
  <c r="D54" i="1"/>
  <c r="D53" i="1"/>
  <c r="D132" i="3"/>
  <c r="F11" i="4" l="1"/>
  <c r="F10" i="4"/>
  <c r="F9" i="4"/>
  <c r="F14" i="4"/>
  <c r="F12" i="4"/>
  <c r="F13" i="4"/>
  <c r="I93" i="1"/>
  <c r="H17" i="4"/>
  <c r="H16" i="4"/>
  <c r="I90" i="1"/>
  <c r="D19" i="4"/>
  <c r="E19" i="4" s="1"/>
  <c r="D18" i="4"/>
  <c r="E18" i="4" s="1"/>
  <c r="F79" i="1"/>
  <c r="G79" i="1" s="1"/>
  <c r="I91" i="1"/>
  <c r="G132" i="3"/>
  <c r="I132" i="3"/>
  <c r="H132" i="3"/>
  <c r="D93" i="1"/>
  <c r="E92" i="1"/>
  <c r="D11" i="4" s="1"/>
  <c r="E95" i="1"/>
  <c r="D91" i="1"/>
  <c r="G91" i="1" s="1"/>
  <c r="E94" i="1"/>
  <c r="K39" i="3" s="1"/>
  <c r="F80" i="3" s="1"/>
  <c r="D69" i="1"/>
  <c r="E68" i="1" s="1"/>
  <c r="I40" i="3"/>
  <c r="I36" i="3"/>
  <c r="I39" i="3"/>
  <c r="I38" i="3"/>
  <c r="I37" i="3"/>
  <c r="E40" i="3"/>
  <c r="C81" i="3" s="1"/>
  <c r="E36" i="3"/>
  <c r="C77" i="3" s="1"/>
  <c r="E38" i="3"/>
  <c r="C79" i="3" s="1"/>
  <c r="D90" i="1"/>
  <c r="C97" i="1"/>
  <c r="E96" i="1"/>
  <c r="D20" i="4" s="1"/>
  <c r="K20" i="4" s="1"/>
  <c r="K8" i="4" s="1"/>
  <c r="D96" i="1"/>
  <c r="E37" i="3"/>
  <c r="C78" i="3" s="1"/>
  <c r="E39" i="3"/>
  <c r="C80" i="3" s="1"/>
  <c r="G93" i="1"/>
  <c r="C38" i="3"/>
  <c r="B79" i="3" s="1"/>
  <c r="C36" i="3"/>
  <c r="B77" i="3" s="1"/>
  <c r="C39" i="3"/>
  <c r="B80" i="3" s="1"/>
  <c r="D17" i="4" l="1"/>
  <c r="D16" i="4"/>
  <c r="C18" i="4"/>
  <c r="C19" i="4"/>
  <c r="F82" i="1"/>
  <c r="G82" i="1" s="1"/>
  <c r="D9" i="4"/>
  <c r="E8" i="4"/>
  <c r="C122" i="3"/>
  <c r="H8" i="4"/>
  <c r="M36" i="3"/>
  <c r="G77" i="3" s="1"/>
  <c r="D15" i="4"/>
  <c r="J15" i="4" s="1"/>
  <c r="J8" i="4" s="1"/>
  <c r="D14" i="4"/>
  <c r="F8" i="4"/>
  <c r="G36" i="3"/>
  <c r="D77" i="3" s="1"/>
  <c r="G17" i="4"/>
  <c r="G10" i="4"/>
  <c r="G11" i="4"/>
  <c r="G16" i="4"/>
  <c r="G9" i="4"/>
  <c r="G14" i="4"/>
  <c r="G13" i="4"/>
  <c r="G12" i="4"/>
  <c r="D10" i="4"/>
  <c r="D13" i="4"/>
  <c r="D12" i="4"/>
  <c r="F80" i="1"/>
  <c r="G80" i="1" s="1"/>
  <c r="G90" i="1"/>
  <c r="G37" i="3"/>
  <c r="D78" i="3" s="1"/>
  <c r="G38" i="3"/>
  <c r="D79" i="3" s="1"/>
  <c r="K40" i="3"/>
  <c r="F81" i="3" s="1"/>
  <c r="E65" i="1"/>
  <c r="C74" i="1"/>
  <c r="F74" i="1" s="1"/>
  <c r="G92" i="1"/>
  <c r="G40" i="3"/>
  <c r="D81" i="3" s="1"/>
  <c r="G39" i="3"/>
  <c r="D80" i="3" s="1"/>
  <c r="E62" i="1"/>
  <c r="M38" i="3"/>
  <c r="G79" i="3" s="1"/>
  <c r="E64" i="1"/>
  <c r="K37" i="3"/>
  <c r="F78" i="3" s="1"/>
  <c r="G95" i="1"/>
  <c r="I92" i="1"/>
  <c r="F81" i="1" s="1"/>
  <c r="E63" i="1"/>
  <c r="M39" i="3"/>
  <c r="G80" i="3" s="1"/>
  <c r="M37" i="3"/>
  <c r="G78" i="3" s="1"/>
  <c r="E66" i="1"/>
  <c r="E67" i="1"/>
  <c r="M40" i="3"/>
  <c r="G81" i="3" s="1"/>
  <c r="K36" i="3"/>
  <c r="F77" i="3" s="1"/>
  <c r="K38" i="3"/>
  <c r="F79" i="3" s="1"/>
  <c r="E68" i="3"/>
  <c r="E80" i="3"/>
  <c r="E65" i="3"/>
  <c r="E77" i="3"/>
  <c r="C82" i="3"/>
  <c r="E69" i="3"/>
  <c r="E81" i="3"/>
  <c r="E66" i="3"/>
  <c r="E78" i="3"/>
  <c r="E67" i="3"/>
  <c r="E79" i="3"/>
  <c r="B65" i="3"/>
  <c r="B67" i="3"/>
  <c r="B108" i="3" s="1"/>
  <c r="C68" i="3"/>
  <c r="C109" i="3" s="1"/>
  <c r="F68" i="3"/>
  <c r="C65" i="3"/>
  <c r="C69" i="3"/>
  <c r="C110" i="3" s="1"/>
  <c r="B68" i="3"/>
  <c r="B109" i="3" s="1"/>
  <c r="C66" i="3"/>
  <c r="C67" i="3"/>
  <c r="C108" i="3" s="1"/>
  <c r="O40" i="3"/>
  <c r="O37" i="3"/>
  <c r="O36" i="3"/>
  <c r="O39" i="3"/>
  <c r="O38" i="3"/>
  <c r="I41" i="3"/>
  <c r="E97" i="1"/>
  <c r="D97" i="1"/>
  <c r="H83" i="1" s="1"/>
  <c r="H85" i="1" s="1"/>
  <c r="E41" i="3"/>
  <c r="G96" i="1"/>
  <c r="C37" i="3"/>
  <c r="B78" i="3" s="1"/>
  <c r="C40" i="3"/>
  <c r="B81" i="3" s="1"/>
  <c r="C16" i="4" l="1"/>
  <c r="C11" i="4"/>
  <c r="C10" i="4"/>
  <c r="C9" i="4"/>
  <c r="C14" i="4"/>
  <c r="C13" i="4"/>
  <c r="C17" i="4"/>
  <c r="C12" i="4"/>
  <c r="D65" i="3"/>
  <c r="D106" i="3" s="1"/>
  <c r="G65" i="3"/>
  <c r="G106" i="3" s="1"/>
  <c r="D8" i="4"/>
  <c r="G8" i="4"/>
  <c r="D66" i="3"/>
  <c r="D107" i="3" s="1"/>
  <c r="F71" i="1"/>
  <c r="F66" i="1"/>
  <c r="D67" i="3"/>
  <c r="D108" i="3" s="1"/>
  <c r="F65" i="1"/>
  <c r="F67" i="1"/>
  <c r="F69" i="3"/>
  <c r="F98" i="3" s="1"/>
  <c r="F70" i="1"/>
  <c r="F73" i="1"/>
  <c r="F62" i="1"/>
  <c r="F68" i="1"/>
  <c r="F63" i="1"/>
  <c r="F72" i="1"/>
  <c r="G81" i="1"/>
  <c r="G83" i="1" s="1"/>
  <c r="I85" i="1" s="1"/>
  <c r="F83" i="1"/>
  <c r="F64" i="1"/>
  <c r="D68" i="3"/>
  <c r="D109" i="3" s="1"/>
  <c r="D69" i="3"/>
  <c r="D98" i="3" s="1"/>
  <c r="G68" i="3"/>
  <c r="G109" i="3" s="1"/>
  <c r="G41" i="3"/>
  <c r="D82" i="3"/>
  <c r="G82" i="3"/>
  <c r="M41" i="3"/>
  <c r="F82" i="3"/>
  <c r="G67" i="3"/>
  <c r="G96" i="3" s="1"/>
  <c r="F66" i="3"/>
  <c r="F95" i="3" s="1"/>
  <c r="E69" i="1"/>
  <c r="G69" i="3"/>
  <c r="G98" i="3" s="1"/>
  <c r="G66" i="3"/>
  <c r="G107" i="3" s="1"/>
  <c r="D94" i="3"/>
  <c r="K41" i="3"/>
  <c r="F65" i="3"/>
  <c r="F106" i="3" s="1"/>
  <c r="F67" i="3"/>
  <c r="F108" i="3" s="1"/>
  <c r="F97" i="3"/>
  <c r="F109" i="3"/>
  <c r="E96" i="3"/>
  <c r="E108" i="3"/>
  <c r="E94" i="3"/>
  <c r="E106" i="3"/>
  <c r="D96" i="3"/>
  <c r="E97" i="3"/>
  <c r="E109" i="3"/>
  <c r="C98" i="3"/>
  <c r="C70" i="3"/>
  <c r="C106" i="3"/>
  <c r="C95" i="3"/>
  <c r="C107" i="3"/>
  <c r="E98" i="3"/>
  <c r="E110" i="3"/>
  <c r="E95" i="3"/>
  <c r="E107" i="3"/>
  <c r="E82" i="3"/>
  <c r="H68" i="3"/>
  <c r="H80" i="3"/>
  <c r="H66" i="3"/>
  <c r="H78" i="3"/>
  <c r="H69" i="3"/>
  <c r="H81" i="3"/>
  <c r="H65" i="3"/>
  <c r="H77" i="3"/>
  <c r="B82" i="3"/>
  <c r="E70" i="3"/>
  <c r="B94" i="3"/>
  <c r="H67" i="3"/>
  <c r="H79" i="3"/>
  <c r="B69" i="3"/>
  <c r="B110" i="3" s="1"/>
  <c r="B66" i="3"/>
  <c r="P39" i="3"/>
  <c r="C49" i="3" s="1"/>
  <c r="D49" i="3" s="1"/>
  <c r="O41" i="3"/>
  <c r="P36" i="3"/>
  <c r="P38" i="3"/>
  <c r="C48" i="3" s="1"/>
  <c r="D48" i="3" s="1"/>
  <c r="P40" i="3"/>
  <c r="C50" i="3" s="1"/>
  <c r="P37" i="3"/>
  <c r="C47" i="3" s="1"/>
  <c r="C94" i="3"/>
  <c r="C96" i="3"/>
  <c r="E46" i="3"/>
  <c r="E50" i="3"/>
  <c r="F50" i="3" s="1"/>
  <c r="E49" i="3"/>
  <c r="F49" i="3" s="1"/>
  <c r="E48" i="3"/>
  <c r="F48" i="3" s="1"/>
  <c r="E47" i="3"/>
  <c r="F47" i="3" s="1"/>
  <c r="C97" i="3"/>
  <c r="B106" i="3"/>
  <c r="C41" i="3"/>
  <c r="B96" i="3"/>
  <c r="B97" i="3"/>
  <c r="C8" i="4" l="1"/>
  <c r="I78" i="3"/>
  <c r="E118" i="3" s="1"/>
  <c r="I80" i="3"/>
  <c r="E120" i="3" s="1"/>
  <c r="I81" i="3"/>
  <c r="E121" i="3" s="1"/>
  <c r="G94" i="3"/>
  <c r="D95" i="3"/>
  <c r="F110" i="3"/>
  <c r="D97" i="3"/>
  <c r="I83" i="1"/>
  <c r="I81" i="1"/>
  <c r="I79" i="1"/>
  <c r="F69" i="1"/>
  <c r="D70" i="3"/>
  <c r="D110" i="3"/>
  <c r="G97" i="3"/>
  <c r="F107" i="3"/>
  <c r="G110" i="3"/>
  <c r="G95" i="3"/>
  <c r="G108" i="3"/>
  <c r="G70" i="3"/>
  <c r="F94" i="3"/>
  <c r="F70" i="3"/>
  <c r="I65" i="3"/>
  <c r="B117" i="3" s="1"/>
  <c r="F96" i="3"/>
  <c r="G49" i="3"/>
  <c r="H98" i="3"/>
  <c r="H110" i="3"/>
  <c r="E111" i="3"/>
  <c r="B95" i="3"/>
  <c r="B107" i="3"/>
  <c r="H95" i="3"/>
  <c r="H107" i="3"/>
  <c r="C111" i="3"/>
  <c r="H96" i="3"/>
  <c r="H108" i="3"/>
  <c r="H97" i="3"/>
  <c r="H109" i="3"/>
  <c r="I109" i="3" s="1"/>
  <c r="G120" i="3" s="1"/>
  <c r="H94" i="3"/>
  <c r="H106" i="3"/>
  <c r="I106" i="3" s="1"/>
  <c r="G117" i="3" s="1"/>
  <c r="I68" i="3"/>
  <c r="B120" i="3" s="1"/>
  <c r="B70" i="3"/>
  <c r="I67" i="3"/>
  <c r="B119" i="3" s="1"/>
  <c r="H82" i="3"/>
  <c r="I79" i="3"/>
  <c r="E119" i="3" s="1"/>
  <c r="I77" i="3"/>
  <c r="E117" i="3" s="1"/>
  <c r="H70" i="3"/>
  <c r="I66" i="3"/>
  <c r="B118" i="3" s="1"/>
  <c r="I69" i="3"/>
  <c r="B121" i="3" s="1"/>
  <c r="C46" i="3"/>
  <c r="D46" i="3" s="1"/>
  <c r="P41" i="3"/>
  <c r="G48" i="3"/>
  <c r="F46" i="3"/>
  <c r="B98" i="3"/>
  <c r="E99" i="3"/>
  <c r="C99" i="3"/>
  <c r="G50" i="3"/>
  <c r="G47" i="3"/>
  <c r="D47" i="3"/>
  <c r="D50" i="3"/>
  <c r="AM19" i="4" l="1"/>
  <c r="AI19" i="4"/>
  <c r="AK19" i="4"/>
  <c r="AK18" i="4"/>
  <c r="AM18" i="4"/>
  <c r="AI18" i="4"/>
  <c r="AG18" i="4"/>
  <c r="AO19" i="4"/>
  <c r="AB20" i="4"/>
  <c r="Z16" i="4"/>
  <c r="AM15" i="4"/>
  <c r="AM8" i="4" s="1"/>
  <c r="AM49" i="4" s="1"/>
  <c r="AI15" i="4"/>
  <c r="AK15" i="4"/>
  <c r="AO15" i="4"/>
  <c r="AI13" i="4"/>
  <c r="AG13" i="4"/>
  <c r="AC9" i="4"/>
  <c r="AC11" i="4"/>
  <c r="AG11" i="4"/>
  <c r="AE13" i="4"/>
  <c r="AG12" i="4"/>
  <c r="AG14" i="4"/>
  <c r="AC12" i="4"/>
  <c r="AE10" i="4"/>
  <c r="AI14" i="4"/>
  <c r="AE12" i="4"/>
  <c r="AE14" i="4"/>
  <c r="AA10" i="4"/>
  <c r="AE11" i="4"/>
  <c r="AA9" i="4"/>
  <c r="AE9" i="4"/>
  <c r="AC10" i="4"/>
  <c r="AL18" i="4"/>
  <c r="AL19" i="4"/>
  <c r="AA20" i="4"/>
  <c r="W20" i="4"/>
  <c r="Y20" i="4"/>
  <c r="AA17" i="4"/>
  <c r="Y16" i="4"/>
  <c r="W16" i="4"/>
  <c r="AA16" i="4"/>
  <c r="Y17" i="4"/>
  <c r="AC17" i="4"/>
  <c r="AP15" i="4"/>
  <c r="AH13" i="4"/>
  <c r="AF14" i="4"/>
  <c r="AJ14" i="4"/>
  <c r="AJ13" i="4"/>
  <c r="B122" i="3"/>
  <c r="D99" i="3"/>
  <c r="E122" i="3"/>
  <c r="I108" i="3"/>
  <c r="G119" i="3" s="1"/>
  <c r="I110" i="3"/>
  <c r="G121" i="3" s="1"/>
  <c r="B111" i="3"/>
  <c r="I107" i="3"/>
  <c r="G118" i="3" s="1"/>
  <c r="D111" i="3"/>
  <c r="F111" i="3"/>
  <c r="G99" i="3"/>
  <c r="I97" i="3"/>
  <c r="F120" i="3" s="1"/>
  <c r="AH18" i="4" s="1"/>
  <c r="I94" i="3"/>
  <c r="F117" i="3" s="1"/>
  <c r="G111" i="3"/>
  <c r="F99" i="3"/>
  <c r="I96" i="3"/>
  <c r="F119" i="3" s="1"/>
  <c r="AB16" i="4" s="1"/>
  <c r="I95" i="3"/>
  <c r="F118" i="3" s="1"/>
  <c r="AJ15" i="4" s="1"/>
  <c r="H99" i="3"/>
  <c r="H111" i="3"/>
  <c r="I98" i="3"/>
  <c r="F121" i="3" s="1"/>
  <c r="Z20" i="4" s="1"/>
  <c r="I82" i="3"/>
  <c r="D128" i="3" s="1"/>
  <c r="G46" i="3"/>
  <c r="I70" i="3"/>
  <c r="C51" i="3"/>
  <c r="B99" i="3"/>
  <c r="Y8" i="4" l="1"/>
  <c r="Y49" i="4" s="1"/>
  <c r="AG8" i="4"/>
  <c r="AG49" i="4" s="1"/>
  <c r="AI8" i="4"/>
  <c r="AI49" i="4" s="1"/>
  <c r="AA8" i="4"/>
  <c r="AA49" i="4" s="1"/>
  <c r="AO8" i="4"/>
  <c r="AO49" i="4" s="1"/>
  <c r="F122" i="3"/>
  <c r="F123" i="3" s="1"/>
  <c r="G122" i="3"/>
  <c r="G123" i="3" s="1"/>
  <c r="AH14" i="4"/>
  <c r="AF13" i="4"/>
  <c r="AD12" i="4"/>
  <c r="AF9" i="4"/>
  <c r="AH11" i="4"/>
  <c r="AN15" i="4"/>
  <c r="J119" i="3"/>
  <c r="K119" i="3" s="1"/>
  <c r="L119" i="3" s="1"/>
  <c r="AJ19" i="4"/>
  <c r="AP19" i="4"/>
  <c r="AP8" i="4" s="1"/>
  <c r="AP49" i="4" s="1"/>
  <c r="X16" i="4"/>
  <c r="X20" i="4"/>
  <c r="J120" i="3"/>
  <c r="K120" i="3" s="1"/>
  <c r="L120" i="3" s="1"/>
  <c r="E123" i="3"/>
  <c r="AF12" i="4"/>
  <c r="AD10" i="4"/>
  <c r="AB9" i="4"/>
  <c r="J121" i="3"/>
  <c r="K121" i="3" s="1"/>
  <c r="L121" i="3" s="1"/>
  <c r="AN19" i="4"/>
  <c r="AN18" i="4"/>
  <c r="J117" i="3"/>
  <c r="AC8" i="4"/>
  <c r="AC49" i="4" s="1"/>
  <c r="J118" i="3"/>
  <c r="K118" i="3" s="1"/>
  <c r="L118" i="3" s="1"/>
  <c r="AB17" i="4"/>
  <c r="AD17" i="4"/>
  <c r="D123" i="3"/>
  <c r="I123" i="3"/>
  <c r="B123" i="3"/>
  <c r="C123" i="3"/>
  <c r="AB10" i="4"/>
  <c r="AD11" i="4"/>
  <c r="AL15" i="4"/>
  <c r="AL8" i="4" s="1"/>
  <c r="AL49" i="4" s="1"/>
  <c r="AF11" i="4"/>
  <c r="AF10" i="4"/>
  <c r="AH12" i="4"/>
  <c r="AD9" i="4"/>
  <c r="W8" i="4"/>
  <c r="W49" i="4" s="1"/>
  <c r="AJ18" i="4"/>
  <c r="AJ8" i="4" s="1"/>
  <c r="AJ49" i="4" s="1"/>
  <c r="AE8" i="4"/>
  <c r="AE49" i="4" s="1"/>
  <c r="AK8" i="4"/>
  <c r="AK49" i="4" s="1"/>
  <c r="Z17" i="4"/>
  <c r="Z8" i="4" s="1"/>
  <c r="Z49" i="4" s="1"/>
  <c r="D127" i="3"/>
  <c r="F128" i="3" s="1"/>
  <c r="I111" i="3"/>
  <c r="D112" i="3" s="1"/>
  <c r="J67" i="3"/>
  <c r="J109" i="3"/>
  <c r="J96" i="3"/>
  <c r="E71" i="3"/>
  <c r="J98" i="3"/>
  <c r="J108" i="3"/>
  <c r="J106" i="3"/>
  <c r="J107" i="3"/>
  <c r="J65" i="3"/>
  <c r="C71" i="3"/>
  <c r="J97" i="3"/>
  <c r="J110" i="3"/>
  <c r="J69" i="3"/>
  <c r="D71" i="3"/>
  <c r="J95" i="3"/>
  <c r="J94" i="3"/>
  <c r="J66" i="3"/>
  <c r="I99" i="3"/>
  <c r="J99" i="3" s="1"/>
  <c r="J68" i="3"/>
  <c r="D83" i="3"/>
  <c r="F83" i="3"/>
  <c r="G83" i="3"/>
  <c r="C83" i="3"/>
  <c r="B83" i="3"/>
  <c r="E83" i="3"/>
  <c r="J78" i="3"/>
  <c r="J81" i="3"/>
  <c r="H83" i="3"/>
  <c r="J80" i="3"/>
  <c r="G71" i="3"/>
  <c r="H71" i="3"/>
  <c r="F71" i="3"/>
  <c r="J77" i="3"/>
  <c r="B71" i="3"/>
  <c r="J79" i="3"/>
  <c r="AD8" i="4" l="1"/>
  <c r="AD49" i="4" s="1"/>
  <c r="AF8" i="4"/>
  <c r="AF49" i="4" s="1"/>
  <c r="X8" i="4"/>
  <c r="X49" i="4" s="1"/>
  <c r="AN8" i="4"/>
  <c r="AN49" i="4" s="1"/>
  <c r="J122" i="3"/>
  <c r="J123" i="3" s="1"/>
  <c r="K117" i="3"/>
  <c r="AB8" i="4"/>
  <c r="AB49" i="4" s="1"/>
  <c r="AH8" i="4"/>
  <c r="AH49" i="4" s="1"/>
  <c r="F135" i="3"/>
  <c r="F134" i="3"/>
  <c r="I122" i="3"/>
  <c r="F132" i="3"/>
  <c r="I112" i="3"/>
  <c r="F112" i="3"/>
  <c r="G112" i="3"/>
  <c r="E112" i="3"/>
  <c r="B112" i="3"/>
  <c r="D130" i="3"/>
  <c r="F130" i="3" s="1"/>
  <c r="C112" i="3"/>
  <c r="H112" i="3"/>
  <c r="D100" i="3"/>
  <c r="G100" i="3"/>
  <c r="J70" i="3"/>
  <c r="J111" i="3"/>
  <c r="F100" i="3"/>
  <c r="D129" i="3"/>
  <c r="F129" i="3" s="1"/>
  <c r="C100" i="3"/>
  <c r="B100" i="3"/>
  <c r="E100" i="3"/>
  <c r="H100" i="3"/>
  <c r="J82" i="3"/>
  <c r="K122" i="3" l="1"/>
  <c r="K123" i="3" s="1"/>
  <c r="L117" i="3"/>
  <c r="L122" i="3" s="1"/>
  <c r="H122" i="3"/>
  <c r="H123" i="3" s="1"/>
  <c r="D131" i="3"/>
  <c r="I100" i="3"/>
  <c r="D133" i="3" l="1"/>
  <c r="G133" i="3" s="1"/>
  <c r="I131" i="3"/>
  <c r="H131" i="3"/>
  <c r="F131" i="3"/>
  <c r="F127" i="3" s="1"/>
  <c r="G131" i="3"/>
  <c r="F133" i="3" l="1"/>
  <c r="D136" i="3"/>
  <c r="F136" i="3" s="1"/>
  <c r="H133" i="3"/>
  <c r="I133" i="3"/>
  <c r="D137" i="3"/>
  <c r="D138" i="3" l="1"/>
  <c r="D139" i="3" s="1"/>
  <c r="I139" i="3" s="1"/>
  <c r="F138" i="3"/>
  <c r="H139" i="3"/>
  <c r="G139" i="3"/>
  <c r="F139" i="3"/>
  <c r="I9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E79" authorId="0" shapeId="0" xr:uid="{344B813C-E81B-2E4B-8B74-BDC5B9BF8A2D}">
      <text>
        <r>
          <rPr>
            <b/>
            <sz val="10"/>
            <color rgb="FF000000"/>
            <rFont val="Tahoma"/>
            <family val="2"/>
          </rPr>
          <t>Microsoft Office User:</t>
        </r>
        <r>
          <rPr>
            <sz val="10"/>
            <color rgb="FF000000"/>
            <rFont val="Tahoma"/>
            <family val="2"/>
          </rPr>
          <t xml:space="preserve">
</t>
        </r>
        <r>
          <rPr>
            <sz val="10"/>
            <color rgb="FF000000"/>
            <rFont val="Tahoma"/>
            <family val="2"/>
          </rPr>
          <t>Revisar dato DANE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E45" authorId="0" shapeId="0" xr:uid="{A356BC2E-CF78-D445-98C7-9D0A96173A9F}">
      <text>
        <r>
          <rPr>
            <b/>
            <sz val="10"/>
            <color rgb="FF000000"/>
            <rFont val="Tahoma"/>
            <family val="2"/>
          </rPr>
          <t>Microsoft Office User:</t>
        </r>
        <r>
          <rPr>
            <sz val="10"/>
            <color rgb="FF000000"/>
            <rFont val="Tahoma"/>
            <family val="2"/>
          </rPr>
          <t xml:space="preserve">
</t>
        </r>
        <r>
          <rPr>
            <sz val="10"/>
            <color rgb="FF000000"/>
            <rFont val="Tahoma"/>
            <family val="2"/>
          </rPr>
          <t xml:space="preserve">duda
</t>
        </r>
      </text>
    </comment>
  </commentList>
</comments>
</file>

<file path=xl/sharedStrings.xml><?xml version="1.0" encoding="utf-8"?>
<sst xmlns="http://schemas.openxmlformats.org/spreadsheetml/2006/main" count="496" uniqueCount="278">
  <si>
    <t>1. CUADRO GENERAL DE ÁREAS</t>
  </si>
  <si>
    <t>Área Bruta (AB)</t>
  </si>
  <si>
    <t>Cargas Generales - Afectaciónes</t>
  </si>
  <si>
    <t>Ambientales</t>
  </si>
  <si>
    <t>Servicios Públicos</t>
  </si>
  <si>
    <t>Viales</t>
  </si>
  <si>
    <t>Cesiones</t>
  </si>
  <si>
    <t>Espacio público</t>
  </si>
  <si>
    <t>Vías</t>
  </si>
  <si>
    <t>Área Útil (AU)</t>
  </si>
  <si>
    <t>2. CUADRO DE ÁREAS POR USO</t>
  </si>
  <si>
    <t>Tipo de uso</t>
  </si>
  <si>
    <t>Cantidad</t>
  </si>
  <si>
    <t>Área (m2)</t>
  </si>
  <si>
    <t>Porcentaje de área pública o privada</t>
  </si>
  <si>
    <t>Porcentaje del área bruta</t>
  </si>
  <si>
    <t>Vivienda ingresos altos</t>
  </si>
  <si>
    <t>Vivienda ingresos medios</t>
  </si>
  <si>
    <t>Comercio y Servicios Tipo 1</t>
  </si>
  <si>
    <t>Equipamiento</t>
  </si>
  <si>
    <t>Vias</t>
  </si>
  <si>
    <t>Afect. - Área Pública</t>
  </si>
  <si>
    <t>3. NORMA URBANISTICA</t>
  </si>
  <si>
    <t>4. INDICADORES DE ESPACIO PÚBLICO Y EQUIPAMENTOS</t>
  </si>
  <si>
    <t>Uso del suelo</t>
  </si>
  <si>
    <t>Índice de ocupación
(IO)</t>
  </si>
  <si>
    <t>Índice de construcción</t>
  </si>
  <si>
    <t>Número total de Unidades
(Und)</t>
  </si>
  <si>
    <t>Número de habitantes por vivienda
(Hab/viv)</t>
  </si>
  <si>
    <t>5. CUADRO DE EDIFICABILIDAD GENERAL</t>
  </si>
  <si>
    <t>Porcentaje vendible del Área Constrida
(m2)</t>
  </si>
  <si>
    <t>Pisos resultantes
(Área construida/Área Ocupada)
(m2)</t>
  </si>
  <si>
    <t>Total</t>
  </si>
  <si>
    <t>005104001</t>
  </si>
  <si>
    <t>005104002</t>
  </si>
  <si>
    <t>005104003</t>
  </si>
  <si>
    <t>005104004</t>
  </si>
  <si>
    <t>005104005</t>
  </si>
  <si>
    <t>005104006</t>
  </si>
  <si>
    <t>005104007</t>
  </si>
  <si>
    <t>005104008</t>
  </si>
  <si>
    <t>005104009</t>
  </si>
  <si>
    <t>005104010</t>
  </si>
  <si>
    <t>005104011</t>
  </si>
  <si>
    <t>005104012</t>
  </si>
  <si>
    <t>005104014</t>
  </si>
  <si>
    <t>TOTAL</t>
  </si>
  <si>
    <t>Manzana</t>
  </si>
  <si>
    <t>m2 de construcción</t>
  </si>
  <si>
    <t>Área construida
(m2)</t>
  </si>
  <si>
    <t>Índice de ocupación promedio</t>
  </si>
  <si>
    <t>Área ocupada
(m2)</t>
  </si>
  <si>
    <t>Cargas</t>
  </si>
  <si>
    <t>Área
(m2)</t>
  </si>
  <si>
    <t>Costo por m2
($/m2)</t>
  </si>
  <si>
    <t>Costo total</t>
  </si>
  <si>
    <t>Espacio Público</t>
  </si>
  <si>
    <t>Equipamientos</t>
  </si>
  <si>
    <t>Precio de venta m2 construido</t>
  </si>
  <si>
    <t>Participación en el valor total</t>
  </si>
  <si>
    <t>Costo de construcción por m2</t>
  </si>
  <si>
    <t>% Sobre las ventas</t>
  </si>
  <si>
    <t>Honorarios</t>
  </si>
  <si>
    <t>Impuestos</t>
  </si>
  <si>
    <t>Gastos de administración</t>
  </si>
  <si>
    <t>Gastos de ventas</t>
  </si>
  <si>
    <t>Gastos financieros</t>
  </si>
  <si>
    <t>Porcentaje de utilidad sobre las ventas</t>
  </si>
  <si>
    <t>1. Valor total ingresos por ventas (VTv)</t>
  </si>
  <si>
    <t>2. Costos directos de construcción (Cc)</t>
  </si>
  <si>
    <t>3. Costos Indirectos de costrucción (Cic)</t>
  </si>
  <si>
    <t>4. Utilidad (U)</t>
  </si>
  <si>
    <t>6. Costos total del urbanismo (Cu)</t>
  </si>
  <si>
    <t>8. Valor inicial (Vi)</t>
  </si>
  <si>
    <t>5. Valor del suelo urbanizado (VTv-Cc-Cic-U)</t>
  </si>
  <si>
    <t>7. Valor residual del suelo bruto (Vr)</t>
  </si>
  <si>
    <t>Porcentaje de espacio público</t>
  </si>
  <si>
    <t>Área Neta (AN)</t>
  </si>
  <si>
    <t>Vivienda Interés Social VIS</t>
  </si>
  <si>
    <t>Vivienda Interés Prioritario VIP</t>
  </si>
  <si>
    <t>Cesión Area Verde conformación de Calle 63A  - Retorno Av. Carrera 30 a Av. Calle 63</t>
  </si>
  <si>
    <t xml:space="preserve"> Area Verde conformación Retorno Puente Vehicular Av. Calle 63</t>
  </si>
  <si>
    <t xml:space="preserve"> Almeda Area Verde Anterior Calle 36A</t>
  </si>
  <si>
    <t>Alameda peatonal - Anterior Calle 63C</t>
  </si>
  <si>
    <t>Area Parque  No 1 Unid de Gestiòn 2</t>
  </si>
  <si>
    <t>Area Parque  No 2 Unid de Gestiòn 2</t>
  </si>
  <si>
    <t>Calle 63B</t>
  </si>
  <si>
    <t>Calle 63C</t>
  </si>
  <si>
    <t>Carrera 35</t>
  </si>
  <si>
    <t>Carrera 36</t>
  </si>
  <si>
    <t>Carrera 36A - Peatonal Restringido Acceso a Proy. Resid. Central Park</t>
  </si>
  <si>
    <t xml:space="preserve">Cesión para conformación de andén Carrera 30  AMD No 3 </t>
  </si>
  <si>
    <t>Cesión para conformación de andén Calle 63F    AMD No 3</t>
  </si>
  <si>
    <t>Cesión para conformación de andén Carrera 35  AMD No 3</t>
  </si>
  <si>
    <t>Cesión para conformación de andén Carrera 30  Manz No 2 Unid Gestiòn 2</t>
  </si>
  <si>
    <t>Áreas de manejo diferenciado</t>
  </si>
  <si>
    <t>Ámd 1 Central Park</t>
  </si>
  <si>
    <t>Ámd 2 Parque El Lago</t>
  </si>
  <si>
    <t>Ámd 3 Manzana 3</t>
  </si>
  <si>
    <t>ÁREAS</t>
  </si>
  <si>
    <t>Malla vial arterial existente</t>
  </si>
  <si>
    <t>Malla vial arterial existente ( Calle 63) Inciso final parágrafo 1 Artículo 328</t>
  </si>
  <si>
    <r>
      <t xml:space="preserve">Área de Verificación (AV) </t>
    </r>
    <r>
      <rPr>
        <sz val="12"/>
        <color theme="0"/>
        <rFont val="Calibri (Cuerpo)"/>
      </rPr>
      <t>Parágrafo 1 del Artículo 328</t>
    </r>
  </si>
  <si>
    <t>Retorno Puente Vehicular Av. Calle 63 - Area de Reserva</t>
  </si>
  <si>
    <t>Calle 63A  - Retorno Av. Carr 30 a Av. Calle 63  - Reserva</t>
  </si>
  <si>
    <t>Área Verificación</t>
  </si>
  <si>
    <t>Área Util-Privada</t>
  </si>
  <si>
    <t>ÁREAS
M2</t>
  </si>
  <si>
    <t>Porcentaje %</t>
  </si>
  <si>
    <t>Área construida
(Neta x IC)
(m2)</t>
  </si>
  <si>
    <t>Area Verde conformación Retorno Puente Vehicular Av. Calle 63</t>
  </si>
  <si>
    <t>Almeda Area Verde Anterior Carrera 36A</t>
  </si>
  <si>
    <t>PORCENTAJE SOBRE ÁREA BRUTA</t>
  </si>
  <si>
    <t>PORCENTAJE SOBRE ÁREA VERIFICACIÓN</t>
  </si>
  <si>
    <t>PORCENTAJE SOBRE ÁREA NETA</t>
  </si>
  <si>
    <t>NORMATIVIDAD ASOCIADA</t>
  </si>
  <si>
    <t>Carga General mas Carga local</t>
  </si>
  <si>
    <t>Área m2</t>
  </si>
  <si>
    <t>Porcentaje</t>
  </si>
  <si>
    <t>Porcentaje de equipamientos</t>
  </si>
  <si>
    <t>Equipamiento No 1 - Educativo</t>
  </si>
  <si>
    <t>Equipamiento No 2 - Educativo</t>
  </si>
  <si>
    <t>Mazana 1</t>
  </si>
  <si>
    <t>Mazana 2</t>
  </si>
  <si>
    <t>Mazana 3</t>
  </si>
  <si>
    <t>Mazana 4</t>
  </si>
  <si>
    <t>Mazana 5</t>
  </si>
  <si>
    <t>Comercial y de Servicios Tipo 2 Clasificación Servicios al automovil</t>
  </si>
  <si>
    <t>Manzanas
Proyectadas</t>
  </si>
  <si>
    <t>MP1 Residencial</t>
  </si>
  <si>
    <t>MP 2 Comercio T2</t>
  </si>
  <si>
    <t>MP 3 Residencial</t>
  </si>
  <si>
    <t>MP 4 Residencial</t>
  </si>
  <si>
    <t>MP 5 Comercio T3</t>
  </si>
  <si>
    <t>Área de la Manzana coincidente con la Manzana Propuesta (m2)</t>
  </si>
  <si>
    <t>Avalúo catastral por Manzana Existente
Metro cuadrado de terreno
($/m2)</t>
  </si>
  <si>
    <t>Avalúo comercial por Manzana Existente
Metro cuadrado de terreno
($/m2)</t>
  </si>
  <si>
    <t>Valor comercial por Manzana Existente
($)</t>
  </si>
  <si>
    <t>Participación de la Manzana Existente en el valor total (%)</t>
  </si>
  <si>
    <t>Manzana
Existente</t>
  </si>
  <si>
    <t>Participación de la Manzana Propuesta en el área total (%)</t>
  </si>
  <si>
    <t>Valor comercial por Manzana Propuesta
($)</t>
  </si>
  <si>
    <t>Valor comercial por Manzana Propuesta total
($)</t>
  </si>
  <si>
    <t>Participación de la Manzana Propuesta en el valor total (%)</t>
  </si>
  <si>
    <t>Área Privada de la Manzana Propuesta
(m2)</t>
  </si>
  <si>
    <t>Área Publica de la Manzana Propuesta
(m2)</t>
  </si>
  <si>
    <t>Área Total de la Manzana Propuesta
(m2)</t>
  </si>
  <si>
    <t>Vivienda VIS</t>
  </si>
  <si>
    <t>Área Neta
(m2)</t>
  </si>
  <si>
    <t>Área ocupada
(Área Neta x IO)
(m2)</t>
  </si>
  <si>
    <t>Comercial y de Servicios Tipo 3 Servicios de hospedaje y especiales</t>
  </si>
  <si>
    <t>Índice de construcción (AN)</t>
  </si>
  <si>
    <t>Calle 63F</t>
  </si>
  <si>
    <t xml:space="preserve">Cesión para conformación de andén Carrera 30  Manz 1 </t>
  </si>
  <si>
    <t>Malla vial arterial existente (Puente Peatonal Calle 63) Inciso final parágrafo 1 Artículo 328</t>
  </si>
  <si>
    <t>Malla vial arterial existente (Puente Peatonal Carrera 30 con Calle 63C) Inciso final parágrafo 1 Artículo 329</t>
  </si>
  <si>
    <t>Malla vial arterial existente (Puente Peatonal Carrera 30 con Calle 63F) Inciso final parágrafo 1 Artículo 330</t>
  </si>
  <si>
    <t>Area Parque  No 1</t>
  </si>
  <si>
    <t>Area Parque  No 2</t>
  </si>
  <si>
    <t>MP 2 Comercio T3</t>
  </si>
  <si>
    <t>MP 5 Comercio T2</t>
  </si>
  <si>
    <t>Alameda peatonal Oriental Calle 63C</t>
  </si>
  <si>
    <t>Alameda peatonal Occidental Calle 63C</t>
  </si>
  <si>
    <t>MP 1 Residencial</t>
  </si>
  <si>
    <t>Área Neta de la manzana
(m2)</t>
  </si>
  <si>
    <t>Vivienda VIP</t>
  </si>
  <si>
    <t>9. Política de moradores</t>
  </si>
  <si>
    <t>10. Plusvalía (Vr-Vi)</t>
  </si>
  <si>
    <t>11. Porcentaje de aumento</t>
  </si>
  <si>
    <t>12. Participación en plusvalia</t>
  </si>
  <si>
    <t>13. Remuneración final de los propietarios (vr. Inicial + 50% plusvalía)</t>
  </si>
  <si>
    <t>Dec 555 - Art 303
En este caso, el área del proyecto será de mínimo tres hectáreas (3.0) incluyendo las áreas de la malla vial intermedia y local, controles ambientales, el es- pacio público y equipamientos de proximidad exis- tentes y que puedan ser objeto de reconfiguración de acuerdo la viabilidad emitida por las empresas de servicios públicos, no se contabilizarán las áreas de la malla vial arterial existente, los elementos de la es- tructura ecológica principal, y/o de los parques es- tructurantes existentes.</t>
  </si>
  <si>
    <t xml:space="preserve">Dec 555 - Art 303
Exigencia de plan parcial para actuaciones urbanísticas en el tratamiento de Renovación Urbana.
Dec 555 - Art 328.
Parágrafo 1. El área de verificación del plan parcial será de mínimo tres hectáreas (3.0) incluyendo las áreas de la malla vial intermedia y local, el espacio público y equipamientos de proximidad existentes y que puedan ser objeto de reconfiguración, controles ambientales y de acuerdo con la viabilidad emitida por las empresas de servicios públicos. No se con- tabilizarán las áreas de la malla vial arterial existente, los elementos de la estructura ecológica principal, y/o de los parques estructurantes existentes.
</t>
  </si>
  <si>
    <t>Relación (ABruta/Util)</t>
  </si>
  <si>
    <t>Relación (AVerificación/AUtil)</t>
  </si>
  <si>
    <t>Relación (ANeta /AUtil)</t>
  </si>
  <si>
    <t xml:space="preserve">Dec.555 - Art.322 Progresividad en el cumplimiento de destinar porciones de suelo a la construcción de VIS o VIP o su equivalente en metros cuadrados de construcción. En proyectos de renovación urbana el porcentaje obligatorio para VIS y VIP que permiten acceder a la edificabilidad adicional se calculará:
Renovación Urbana Hasta el 31/12/2027
IC Efectivo (ICe): Mayor a 7 o planes parciales
VIP: 6% y VIS: 8%
</t>
  </si>
  <si>
    <t>Dec 555 - Art 234. Clasificación de usos comerciales y de servicios.
1. Comercios y servicios básicos.
2 y 5 Hospedaje y Especiales
4. Servicios al automóvil.</t>
  </si>
  <si>
    <t>Dec 555 - Art 328.</t>
  </si>
  <si>
    <t>Número de habitantes por tipo de vivienda
(Hab)</t>
  </si>
  <si>
    <t>Área de espacio público de proximidad efectivo
(m2)</t>
  </si>
  <si>
    <t>Área de equipamientos
(m2)</t>
  </si>
  <si>
    <t>Índice de espacio público de proximidad efectivo por habitante
(m2/hab)</t>
  </si>
  <si>
    <t>Índice de equipamientos por hab.
(m2/hab)</t>
  </si>
  <si>
    <t>Índice de APAUP por habitante
(m2/hab)</t>
  </si>
  <si>
    <t>Índice de área real uso publico
(m2/hab)</t>
  </si>
  <si>
    <t>Áreas Privadas Afectas al Uso Público
APAUP (m2)</t>
  </si>
  <si>
    <t>Áreas Real de Uso Público
(m2)</t>
  </si>
  <si>
    <t>Dec 555 - Art 328.  IC Efectivo - Porcentaje de cáculo de obligaciones: Garantizar que mínimo el 30% se destine a espacio público de proximidad.
Dec 555 - Art 329. Obligación urbanística para equipamiento público: La obligación para equipamientos se cumplirá en el ámbito del proyecto, para lo cual se destinará el tres por ciento (3%) del área del terreno o el tres (3%) por ciento del área total construida.</t>
  </si>
  <si>
    <t>Tamaño unidad de vivienda
(m2)</t>
  </si>
  <si>
    <t>No. Unidades de vivienda</t>
  </si>
  <si>
    <t>6. CONDICIONES INICIALES - DIVISIÓN POR MANZANA EXISTENTES Y AVALÚOS</t>
  </si>
  <si>
    <t>Área de la Manzana
Existente
(m2)</t>
  </si>
  <si>
    <t>Participación de la manzana en el área total
(%)</t>
  </si>
  <si>
    <t>7. CRUCE DE MANZANAS EXISTENTES CON LAS PROYECTADAS (ÁREAS Y AVALÚOS)</t>
  </si>
  <si>
    <t>8. TIPOS DE USO POR MANZANA (% Y M2)</t>
  </si>
  <si>
    <t>9. EDIFICABILIDAD POR MANZANA</t>
  </si>
  <si>
    <t>10. COSTOS DE CARGAS URBANÍSTICAS</t>
  </si>
  <si>
    <t>11. INGRESOS POR VENTAS DE PRODUCTOS INMOBILIARIOS</t>
  </si>
  <si>
    <t>12. COSTOS DIRECTOS DE CONSTRUCCIÓN</t>
  </si>
  <si>
    <t>13. COSTOS INDIRECTOS DE CONSTRUCCIÓN</t>
  </si>
  <si>
    <t>14. UTILIDAD SOBRE LAS VENTAS</t>
  </si>
  <si>
    <t>TOTAL
m2 de construcción</t>
  </si>
  <si>
    <t>Pisos</t>
  </si>
  <si>
    <t>Costo política de Moradores
($)
8,6% Valor comercial Manzana Existente</t>
  </si>
  <si>
    <t>Valores por m2 de Área Verificación</t>
  </si>
  <si>
    <t>Valores por m2 de Área Neta</t>
  </si>
  <si>
    <t>Valores por m2 de Área Útil</t>
  </si>
  <si>
    <t>Equipamiento No 3 - Cultural y Transporte</t>
  </si>
  <si>
    <t>Dec 555 - Art 328. Obligaciones urbanísticas para proyectos que requieren de
la adopción de plan parcial.
IC Efectivo (ICe): Resultante
Porcentaje de cálculo para obligación (Fs): 65%
Área de verificación del plan parcial (AV): Mínimo tres (3,0) hectáreas
Del área a ceder, se deberá garantizar que 30% se destine a espacio público de proximidad.
Parágrafo 2. El porcentaje de cálculo para las obli- gaciones urbanísticas en planes parciales incluirá las de carácter general y local.
Dec. 555 - Art 233. Equipamento tipo 1 Edificaciones con área construida menor a 4000 m2</t>
  </si>
  <si>
    <t>Torre 2</t>
  </si>
  <si>
    <t>Torre 5</t>
  </si>
  <si>
    <t>Torre 1.1.</t>
  </si>
  <si>
    <t>Torre 1.2.</t>
  </si>
  <si>
    <t>Torre 1.3.</t>
  </si>
  <si>
    <t>Torre 1.4.</t>
  </si>
  <si>
    <t>Torre 1.5.</t>
  </si>
  <si>
    <t>Torre 1.6.</t>
  </si>
  <si>
    <t>Torre 3.1.</t>
  </si>
  <si>
    <t>Torre 3.2.</t>
  </si>
  <si>
    <t>Torre 4.1.</t>
  </si>
  <si>
    <t>Torre 4.2.</t>
  </si>
  <si>
    <t>VIA</t>
  </si>
  <si>
    <t>VIM</t>
  </si>
  <si>
    <t>VIS</t>
  </si>
  <si>
    <t>VIP</t>
  </si>
  <si>
    <t>CS1</t>
  </si>
  <si>
    <t>CS2</t>
  </si>
  <si>
    <t>CS3</t>
  </si>
  <si>
    <t>Metros cuadrados vendibles</t>
  </si>
  <si>
    <t>Numero
 de
unidades</t>
  </si>
  <si>
    <t>Vias Arteriales</t>
  </si>
  <si>
    <t>Vías Intermedias y locales</t>
  </si>
  <si>
    <t>Edificabilidad</t>
  </si>
  <si>
    <t>Torres</t>
  </si>
  <si>
    <t>Año</t>
  </si>
  <si>
    <t>I</t>
  </si>
  <si>
    <t>E</t>
  </si>
  <si>
    <t>15. BALANCE GENERAL POR MANZANA</t>
  </si>
  <si>
    <t>Valor total ingresos por ventas (VTv)</t>
  </si>
  <si>
    <t>Costos directos de construcción (Cc)</t>
  </si>
  <si>
    <t>Costos Indirectos de costrucción (Cic)</t>
  </si>
  <si>
    <t>Utilidad (U)</t>
  </si>
  <si>
    <t>Costos total del urbanismo (Cu)</t>
  </si>
  <si>
    <t>Política de moradores</t>
  </si>
  <si>
    <t>Valor inicial (Vi)
Mazana P</t>
  </si>
  <si>
    <t>Valor inicial (Vi)
Cargas Gnr y Loc</t>
  </si>
  <si>
    <t>Valor Suelo Urbanizado</t>
  </si>
  <si>
    <t>Valor Residual del suelo bruto</t>
  </si>
  <si>
    <t>Plusvalia</t>
  </si>
  <si>
    <t>Reparto para reducir tranferencias entre manzanas</t>
  </si>
  <si>
    <t>Porcentajes</t>
  </si>
  <si>
    <t>16. BALANCE GENERAL DEL PLAN PARCIAL</t>
  </si>
  <si>
    <t>Calle 63D</t>
  </si>
  <si>
    <t xml:space="preserve">Cesión para conformación de andén Carrera 30 </t>
  </si>
  <si>
    <t>Total
m2</t>
  </si>
  <si>
    <t>Año 1</t>
  </si>
  <si>
    <t>Año 2</t>
  </si>
  <si>
    <t>Año 3</t>
  </si>
  <si>
    <t>Año 4</t>
  </si>
  <si>
    <t>Año 5</t>
  </si>
  <si>
    <t>Año 6</t>
  </si>
  <si>
    <t>Año 7</t>
  </si>
  <si>
    <t>Año 8</t>
  </si>
  <si>
    <t>Año 9</t>
  </si>
  <si>
    <t>Año 10</t>
  </si>
  <si>
    <t>Ingresos</t>
  </si>
  <si>
    <t>Inversión Inicial</t>
  </si>
  <si>
    <t>Egresos</t>
  </si>
  <si>
    <t>Flujo de efectivo Neto</t>
  </si>
  <si>
    <t>Periodo
n (años)</t>
  </si>
  <si>
    <t>Tasa de interés
i</t>
  </si>
  <si>
    <t>VAN</t>
  </si>
  <si>
    <t>VAN-IO</t>
  </si>
  <si>
    <t>TIR</t>
  </si>
  <si>
    <t>Tasa</t>
  </si>
  <si>
    <t>VNA</t>
  </si>
  <si>
    <t>Año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</si>
</sst>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00"/>
    <numFmt numFmtId="165" formatCode="_-* #,##0.000_-;\-* #,##0.000_-;_-* &quot;-&quot;_-;_-@_-"/>
    <numFmt numFmtId="166" formatCode="_-* #,##0.00_-;\-* #,##0.00_-;_-* &quot;-&quot;_-;_-@_-"/>
    <numFmt numFmtId="167" formatCode="0.0%"/>
    <numFmt numFmtId="168" formatCode="&quot;$&quot;#,##0"/>
    <numFmt numFmtId="169" formatCode="_(&quot;$&quot;\ * #,##0.00_);_(&quot;$&quot;\ * \(#,##0.00\);_(&quot;$&quot;\ * &quot;-&quot;??_);_(@_)"/>
    <numFmt numFmtId="170" formatCode="&quot;$&quot;\ #,##0.00_);[Red]\(&quot;$&quot;\ #,##0.00\)"/>
    <numFmt numFmtId="171" formatCode="_-&quot;$&quot;* #,##0_-;\-&quot;$&quot;* #,##0_-;_-&quot;$&quot;* &quot;-&quot;??_-;_-@_-"/>
    <numFmt numFmtId="172" formatCode="_-* #,##0.000_-;\-* #,##0.000_-;_-* &quot;-&quot;???_-;_-@_-"/>
    <numFmt numFmtId="173" formatCode="#,##0.0"/>
    <numFmt numFmtId="174" formatCode="_(&quot;$&quot;\ * #,##0_);_(&quot;$&quot;\ * \(#,##0\);_(&quot;$&quot;\ * &quot;-&quot;??_);_(@_)"/>
  </numFmts>
  <fonts count="28">
    <font>
      <sz val="12"/>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6"/>
      <color theme="0"/>
      <name val="Calibri"/>
      <family val="2"/>
      <scheme val="minor"/>
    </font>
    <font>
      <b/>
      <sz val="16"/>
      <color theme="1"/>
      <name val="Calibri"/>
      <family val="2"/>
      <scheme val="minor"/>
    </font>
    <font>
      <sz val="14"/>
      <color theme="1"/>
      <name val="Calibri"/>
      <family val="2"/>
      <scheme val="minor"/>
    </font>
    <font>
      <b/>
      <sz val="14"/>
      <color theme="1"/>
      <name val="Calibri"/>
      <family val="2"/>
      <scheme val="minor"/>
    </font>
    <font>
      <sz val="12"/>
      <color rgb="FF000000"/>
      <name val="Calibri"/>
      <family val="2"/>
      <scheme val="minor"/>
    </font>
    <font>
      <b/>
      <sz val="11"/>
      <color theme="1"/>
      <name val="Calibri"/>
      <family val="2"/>
      <scheme val="minor"/>
    </font>
    <font>
      <b/>
      <sz val="10"/>
      <color rgb="FF000000"/>
      <name val="Tahoma"/>
      <family val="2"/>
    </font>
    <font>
      <sz val="10"/>
      <color rgb="FF000000"/>
      <name val="Tahoma"/>
      <family val="2"/>
    </font>
    <font>
      <sz val="10"/>
      <color rgb="FF000000"/>
      <name val="Calibri"/>
      <family val="2"/>
      <scheme val="minor"/>
    </font>
    <font>
      <b/>
      <sz val="18"/>
      <color theme="4" tint="-0.249977111117893"/>
      <name val="Calibri"/>
      <family val="2"/>
      <scheme val="minor"/>
    </font>
    <font>
      <sz val="11"/>
      <color rgb="FF000000"/>
      <name val="Calibri"/>
      <family val="2"/>
      <scheme val="minor"/>
    </font>
    <font>
      <b/>
      <sz val="12"/>
      <color rgb="FF000000"/>
      <name val="Calibri"/>
      <family val="2"/>
      <scheme val="minor"/>
    </font>
    <font>
      <b/>
      <sz val="18"/>
      <color theme="1"/>
      <name val="Calibri"/>
      <family val="2"/>
      <scheme val="minor"/>
    </font>
    <font>
      <sz val="12"/>
      <color theme="0"/>
      <name val="Calibri (Cuerpo)"/>
    </font>
    <font>
      <sz val="14"/>
      <color rgb="FF000000"/>
      <name val="Calibri"/>
      <family val="2"/>
      <scheme val="minor"/>
    </font>
    <font>
      <sz val="6"/>
      <color theme="1"/>
      <name val="Calibri"/>
      <family val="2"/>
      <scheme val="minor"/>
    </font>
    <font>
      <sz val="8"/>
      <name val="Calibri"/>
      <family val="2"/>
      <scheme val="minor"/>
    </font>
    <font>
      <b/>
      <sz val="12"/>
      <color theme="0"/>
      <name val="Calibri"/>
      <family val="2"/>
      <scheme val="minor"/>
    </font>
    <font>
      <b/>
      <sz val="14"/>
      <color theme="0"/>
      <name val="Calibri"/>
      <family val="2"/>
      <scheme val="minor"/>
    </font>
    <font>
      <sz val="12"/>
      <color theme="0"/>
      <name val="Calibri"/>
      <family val="2"/>
      <scheme val="minor"/>
    </font>
    <font>
      <sz val="14"/>
      <color theme="0"/>
      <name val="Calibri"/>
      <family val="2"/>
      <scheme val="minor"/>
    </font>
    <font>
      <b/>
      <sz val="11"/>
      <color theme="0"/>
      <name val="Calibri"/>
      <family val="2"/>
      <scheme val="minor"/>
    </font>
    <font>
      <b/>
      <sz val="18"/>
      <color theme="0"/>
      <name val="Calibri"/>
      <family val="2"/>
      <scheme val="minor"/>
    </font>
    <font>
      <sz val="12"/>
      <color theme="0" tint="-0.499984740745262"/>
      <name val="Calibri"/>
      <family val="2"/>
      <scheme val="minor"/>
    </font>
  </fonts>
  <fills count="21">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00B0F0"/>
        <bgColor rgb="FF000000"/>
      </patternFill>
    </fill>
    <fill>
      <patternFill patternType="solid">
        <fgColor rgb="FF92D050"/>
        <bgColor rgb="FF000000"/>
      </patternFill>
    </fill>
    <fill>
      <patternFill patternType="solid">
        <fgColor rgb="FF808080"/>
        <bgColor rgb="FF000000"/>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tint="0.39997558519241921"/>
        <bgColor rgb="FF000000"/>
      </patternFill>
    </fill>
    <fill>
      <patternFill patternType="solid">
        <fgColor theme="7" tint="0.59999389629810485"/>
        <bgColor rgb="FF000000"/>
      </patternFill>
    </fill>
    <fill>
      <patternFill patternType="solid">
        <fgColor theme="9" tint="0.79998168889431442"/>
        <bgColor rgb="FF000000"/>
      </patternFill>
    </fill>
    <fill>
      <patternFill patternType="solid">
        <fgColor theme="9" tint="0.59999389629810485"/>
        <bgColor rgb="FF000000"/>
      </patternFill>
    </fill>
    <fill>
      <patternFill patternType="solid">
        <fgColor theme="9" tint="0.39997558519241921"/>
        <bgColor rgb="FF000000"/>
      </patternFill>
    </fill>
    <fill>
      <patternFill patternType="solid">
        <fgColor theme="9" tint="-0.249977111117893"/>
        <bgColor rgb="FF000000"/>
      </patternFill>
    </fill>
    <fill>
      <patternFill patternType="solid">
        <fgColor theme="7" tint="-0.249977111117893"/>
        <bgColor rgb="FF000000"/>
      </patternFill>
    </fill>
    <fill>
      <patternFill patternType="solid">
        <fgColor theme="7" tint="0.79998168889431442"/>
        <bgColor rgb="FF000000"/>
      </patternFill>
    </fill>
    <fill>
      <patternFill patternType="solid">
        <fgColor theme="0" tint="-0.499984740745262"/>
        <bgColor indexed="64"/>
      </patternFill>
    </fill>
    <fill>
      <patternFill patternType="solid">
        <fgColor rgb="FF00B0F0"/>
        <bgColor indexed="64"/>
      </patternFill>
    </fill>
    <fill>
      <patternFill patternType="solid">
        <fgColor theme="9" tint="0.79998168889431442"/>
        <bgColor indexed="64"/>
      </patternFill>
    </fill>
    <fill>
      <patternFill patternType="solid">
        <fgColor theme="4" tint="-0.249977111117893"/>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style="thin">
        <color auto="1"/>
      </top>
      <bottom/>
      <diagonal/>
    </border>
    <border>
      <left style="thin">
        <color auto="1"/>
      </left>
      <right style="medium">
        <color indexed="64"/>
      </right>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ck">
        <color indexed="64"/>
      </right>
      <top style="medium">
        <color indexed="64"/>
      </top>
      <bottom/>
      <diagonal/>
    </border>
    <border>
      <left style="thin">
        <color auto="1"/>
      </left>
      <right style="thick">
        <color indexed="64"/>
      </right>
      <top style="thin">
        <color auto="1"/>
      </top>
      <bottom style="thin">
        <color auto="1"/>
      </bottom>
      <diagonal/>
    </border>
    <border>
      <left style="thin">
        <color auto="1"/>
      </left>
      <right style="thick">
        <color indexed="64"/>
      </right>
      <top style="thin">
        <color auto="1"/>
      </top>
      <bottom style="medium">
        <color indexed="64"/>
      </bottom>
      <diagonal/>
    </border>
    <border>
      <left style="thick">
        <color indexed="64"/>
      </left>
      <right/>
      <top/>
      <bottom/>
      <diagonal/>
    </border>
    <border>
      <left style="thick">
        <color indexed="64"/>
      </left>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auto="1"/>
      </left>
      <right/>
      <top style="thin">
        <color auto="1"/>
      </top>
      <bottom style="medium">
        <color indexed="64"/>
      </bottom>
      <diagonal/>
    </border>
    <border>
      <left style="thin">
        <color auto="1"/>
      </left>
      <right/>
      <top style="medium">
        <color indexed="64"/>
      </top>
      <bottom style="thin">
        <color auto="1"/>
      </bottom>
      <diagonal/>
    </border>
    <border>
      <left style="thin">
        <color auto="1"/>
      </left>
      <right style="thick">
        <color indexed="64"/>
      </right>
      <top/>
      <bottom style="thin">
        <color auto="1"/>
      </bottom>
      <diagonal/>
    </border>
    <border>
      <left style="thin">
        <color auto="1"/>
      </left>
      <right style="thick">
        <color indexed="64"/>
      </right>
      <top style="medium">
        <color indexed="64"/>
      </top>
      <bottom style="thin">
        <color auto="1"/>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medium">
        <color indexed="64"/>
      </left>
      <right/>
      <top/>
      <bottom style="thin">
        <color auto="1"/>
      </bottom>
      <diagonal/>
    </border>
    <border>
      <left/>
      <right style="thin">
        <color auto="1"/>
      </right>
      <top/>
      <bottom style="medium">
        <color indexed="64"/>
      </bottom>
      <diagonal/>
    </border>
    <border>
      <left style="medium">
        <color indexed="64"/>
      </left>
      <right/>
      <top style="thin">
        <color auto="1"/>
      </top>
      <bottom style="thin">
        <color auto="1"/>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xf numFmtId="0" fontId="12" fillId="0" borderId="0"/>
  </cellStyleXfs>
  <cellXfs count="567">
    <xf numFmtId="0" fontId="0" fillId="0" borderId="0" xfId="0"/>
    <xf numFmtId="0" fontId="5" fillId="0" borderId="0" xfId="6" applyFont="1" applyAlignment="1">
      <alignment vertical="center"/>
    </xf>
    <xf numFmtId="0" fontId="0" fillId="0" borderId="0" xfId="0" applyAlignment="1">
      <alignment vertical="center"/>
    </xf>
    <xf numFmtId="0" fontId="5"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3" fillId="0" borderId="0" xfId="6" applyAlignment="1">
      <alignment vertical="center"/>
    </xf>
    <xf numFmtId="41" fontId="3" fillId="0" borderId="0" xfId="2" applyFont="1" applyAlignment="1">
      <alignment vertical="center"/>
    </xf>
    <xf numFmtId="0" fontId="2" fillId="0" borderId="0" xfId="6" applyFont="1" applyAlignment="1">
      <alignment horizontal="center" vertical="center" wrapText="1"/>
    </xf>
    <xf numFmtId="0" fontId="0" fillId="0" borderId="0" xfId="6" applyFont="1" applyAlignment="1">
      <alignment vertical="center"/>
    </xf>
    <xf numFmtId="10" fontId="5" fillId="0" borderId="1" xfId="5" applyNumberFormat="1" applyFont="1" applyBorder="1" applyAlignment="1">
      <alignment vertical="center"/>
    </xf>
    <xf numFmtId="0" fontId="7" fillId="0" borderId="0" xfId="6" applyFont="1" applyAlignment="1">
      <alignment vertical="center"/>
    </xf>
    <xf numFmtId="0" fontId="1" fillId="0" borderId="0" xfId="0" applyFont="1" applyAlignment="1">
      <alignment vertical="center"/>
    </xf>
    <xf numFmtId="0" fontId="0" fillId="0" borderId="0" xfId="6" applyFont="1" applyAlignment="1">
      <alignment horizontal="center" vertical="center"/>
    </xf>
    <xf numFmtId="0" fontId="0" fillId="0" borderId="0" xfId="0" applyAlignment="1">
      <alignment horizontal="center" vertical="center"/>
    </xf>
    <xf numFmtId="0" fontId="13" fillId="0" borderId="0" xfId="0" applyFont="1" applyAlignment="1">
      <alignment vertical="center"/>
    </xf>
    <xf numFmtId="0" fontId="13" fillId="0" borderId="0" xfId="0" applyFont="1" applyAlignment="1">
      <alignment horizontal="left" vertical="center"/>
    </xf>
    <xf numFmtId="0" fontId="2" fillId="0" borderId="1" xfId="0" applyFont="1" applyBorder="1" applyAlignment="1">
      <alignment horizontal="center" vertical="center" wrapText="1"/>
    </xf>
    <xf numFmtId="0" fontId="13" fillId="0" borderId="0" xfId="0" applyFont="1" applyAlignment="1">
      <alignment horizontal="center" vertical="center" wrapText="1"/>
    </xf>
    <xf numFmtId="0" fontId="2" fillId="0" borderId="0" xfId="0" applyFont="1" applyAlignment="1">
      <alignment horizontal="center" vertical="center" wrapText="1"/>
    </xf>
    <xf numFmtId="167" fontId="0" fillId="0" borderId="1" xfId="5" applyNumberFormat="1" applyFont="1" applyFill="1" applyBorder="1" applyAlignment="1">
      <alignment horizontal="center" vertical="center"/>
    </xf>
    <xf numFmtId="0" fontId="9" fillId="0" borderId="0" xfId="0" applyFont="1" applyAlignment="1">
      <alignment horizontal="right" vertical="center"/>
    </xf>
    <xf numFmtId="43" fontId="9" fillId="0" borderId="0" xfId="1" applyFont="1" applyFill="1" applyBorder="1" applyAlignment="1">
      <alignment vertical="center"/>
    </xf>
    <xf numFmtId="9" fontId="9" fillId="0" borderId="0" xfId="0" applyNumberFormat="1" applyFont="1" applyAlignment="1">
      <alignment vertical="center"/>
    </xf>
    <xf numFmtId="170" fontId="14" fillId="0" borderId="0" xfId="0" applyNumberFormat="1" applyFont="1" applyAlignment="1">
      <alignment vertical="center"/>
    </xf>
    <xf numFmtId="9" fontId="0" fillId="0" borderId="1" xfId="5" applyFont="1" applyFill="1" applyBorder="1" applyAlignment="1">
      <alignment vertical="center"/>
    </xf>
    <xf numFmtId="4" fontId="0" fillId="0" borderId="1" xfId="5" applyNumberFormat="1" applyFont="1" applyFill="1" applyBorder="1" applyAlignment="1">
      <alignment vertical="center"/>
    </xf>
    <xf numFmtId="4" fontId="2" fillId="0" borderId="1" xfId="5" applyNumberFormat="1" applyFont="1" applyFill="1" applyBorder="1" applyAlignment="1">
      <alignment vertical="center"/>
    </xf>
    <xf numFmtId="4" fontId="0" fillId="0" borderId="1" xfId="5" applyNumberFormat="1" applyFont="1" applyFill="1" applyBorder="1" applyAlignment="1">
      <alignment horizontal="right" vertical="center"/>
    </xf>
    <xf numFmtId="171" fontId="0" fillId="0" borderId="1" xfId="0" applyNumberFormat="1" applyBorder="1" applyAlignment="1">
      <alignment vertical="center"/>
    </xf>
    <xf numFmtId="0" fontId="0" fillId="0" borderId="0" xfId="0" applyAlignment="1">
      <alignment horizontal="left" vertical="center"/>
    </xf>
    <xf numFmtId="9" fontId="0" fillId="0" borderId="0" xfId="5" applyFont="1" applyBorder="1" applyAlignment="1">
      <alignment horizontal="right" vertical="center"/>
    </xf>
    <xf numFmtId="10" fontId="0" fillId="0" borderId="0" xfId="5" applyNumberFormat="1" applyFont="1" applyBorder="1" applyAlignment="1">
      <alignment horizontal="center" vertical="center"/>
    </xf>
    <xf numFmtId="44" fontId="0" fillId="0" borderId="0" xfId="3" applyFont="1" applyBorder="1" applyAlignment="1">
      <alignment vertical="center"/>
    </xf>
    <xf numFmtId="164" fontId="3" fillId="0" borderId="0" xfId="0" applyNumberFormat="1" applyFont="1" applyAlignment="1">
      <alignment vertical="center"/>
    </xf>
    <xf numFmtId="0" fontId="6" fillId="0" borderId="1" xfId="6" applyFont="1" applyBorder="1" applyAlignment="1">
      <alignment horizontal="center" vertical="center"/>
    </xf>
    <xf numFmtId="0" fontId="15" fillId="16"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0" fontId="15" fillId="12"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15" fillId="14" borderId="1" xfId="0" applyFont="1" applyFill="1" applyBorder="1" applyAlignment="1">
      <alignment horizontal="center" vertical="center" wrapText="1"/>
    </xf>
    <xf numFmtId="164" fontId="0" fillId="0" borderId="0" xfId="0" applyNumberFormat="1" applyAlignment="1">
      <alignment vertical="center"/>
    </xf>
    <xf numFmtId="0" fontId="19" fillId="0" borderId="0" xfId="0" applyFont="1" applyAlignment="1">
      <alignment horizontal="left" vertical="center" wrapText="1"/>
    </xf>
    <xf numFmtId="10" fontId="4" fillId="2" borderId="1" xfId="5" applyNumberFormat="1" applyFont="1" applyFill="1" applyBorder="1" applyAlignment="1">
      <alignment vertical="center"/>
    </xf>
    <xf numFmtId="10" fontId="6" fillId="0" borderId="1" xfId="5" applyNumberFormat="1" applyFont="1" applyBorder="1" applyAlignment="1">
      <alignment vertical="center"/>
    </xf>
    <xf numFmtId="10" fontId="1" fillId="0" borderId="1" xfId="5" applyNumberFormat="1" applyFont="1" applyBorder="1" applyAlignment="1">
      <alignment vertical="center"/>
    </xf>
    <xf numFmtId="10" fontId="1" fillId="0" borderId="1" xfId="5" applyNumberFormat="1" applyFont="1" applyFill="1" applyBorder="1" applyAlignment="1">
      <alignment vertical="center"/>
    </xf>
    <xf numFmtId="0" fontId="3" fillId="0" borderId="0" xfId="0" applyFont="1" applyFill="1" applyAlignment="1">
      <alignment vertical="center"/>
    </xf>
    <xf numFmtId="49" fontId="0" fillId="0" borderId="8" xfId="0" applyNumberFormat="1" applyBorder="1" applyAlignment="1">
      <alignment horizontal="center" vertical="center"/>
    </xf>
    <xf numFmtId="0" fontId="2" fillId="0" borderId="0" xfId="0" applyFont="1" applyBorder="1" applyAlignment="1">
      <alignment horizontal="center" vertical="center"/>
    </xf>
    <xf numFmtId="4" fontId="2" fillId="0" borderId="0" xfId="0" applyNumberFormat="1" applyFont="1" applyBorder="1" applyAlignment="1">
      <alignment vertical="center"/>
    </xf>
    <xf numFmtId="9" fontId="2" fillId="0" borderId="0" xfId="5" applyFont="1" applyBorder="1" applyAlignment="1">
      <alignment horizontal="center" vertical="center"/>
    </xf>
    <xf numFmtId="0" fontId="0" fillId="0" borderId="0" xfId="0" applyBorder="1" applyAlignment="1">
      <alignment vertical="center"/>
    </xf>
    <xf numFmtId="169" fontId="2" fillId="0" borderId="0" xfId="0" applyNumberFormat="1" applyFont="1" applyBorder="1" applyAlignment="1">
      <alignment vertical="center"/>
    </xf>
    <xf numFmtId="49" fontId="0" fillId="0" borderId="1" xfId="0" applyNumberFormat="1" applyBorder="1" applyAlignment="1">
      <alignment horizontal="left" vertical="center"/>
    </xf>
    <xf numFmtId="167" fontId="0" fillId="0" borderId="8" xfId="5" applyNumberFormat="1" applyFont="1" applyFill="1" applyBorder="1" applyAlignment="1">
      <alignment horizontal="center" vertical="center"/>
    </xf>
    <xf numFmtId="49" fontId="0" fillId="7" borderId="14" xfId="0" applyNumberFormat="1" applyFill="1" applyBorder="1" applyAlignment="1">
      <alignment horizontal="center" vertical="center"/>
    </xf>
    <xf numFmtId="167" fontId="0" fillId="7" borderId="15" xfId="5" applyNumberFormat="1" applyFont="1" applyFill="1" applyBorder="1" applyAlignment="1">
      <alignment horizontal="center" vertical="center"/>
    </xf>
    <xf numFmtId="49" fontId="0" fillId="7" borderId="16" xfId="0" applyNumberFormat="1" applyFill="1" applyBorder="1" applyAlignment="1">
      <alignment horizontal="center" vertical="center"/>
    </xf>
    <xf numFmtId="167" fontId="0" fillId="7" borderId="1" xfId="5" applyNumberFormat="1" applyFont="1" applyFill="1" applyBorder="1" applyAlignment="1">
      <alignment horizontal="center" vertical="center"/>
    </xf>
    <xf numFmtId="49" fontId="0" fillId="7" borderId="18" xfId="0" applyNumberFormat="1" applyFill="1" applyBorder="1" applyAlignment="1">
      <alignment horizontal="center" vertical="center"/>
    </xf>
    <xf numFmtId="167" fontId="0" fillId="7" borderId="19" xfId="5" applyNumberFormat="1" applyFont="1" applyFill="1" applyBorder="1" applyAlignment="1">
      <alignment horizontal="center" vertical="center"/>
    </xf>
    <xf numFmtId="10" fontId="0" fillId="0" borderId="1" xfId="5" applyNumberFormat="1" applyFont="1" applyFill="1" applyBorder="1" applyAlignment="1">
      <alignment horizontal="center" vertical="center"/>
    </xf>
    <xf numFmtId="10" fontId="0" fillId="0" borderId="1" xfId="5" applyNumberFormat="1" applyFont="1" applyFill="1" applyBorder="1" applyAlignment="1">
      <alignment vertical="center"/>
    </xf>
    <xf numFmtId="0" fontId="9" fillId="0" borderId="1" xfId="0" applyFont="1" applyFill="1" applyBorder="1" applyAlignment="1">
      <alignment horizontal="center" vertical="center" wrapText="1"/>
    </xf>
    <xf numFmtId="172" fontId="0" fillId="0" borderId="0" xfId="0" applyNumberFormat="1" applyAlignment="1">
      <alignment vertical="center"/>
    </xf>
    <xf numFmtId="49" fontId="0" fillId="8" borderId="1" xfId="0" applyNumberFormat="1" applyFill="1" applyBorder="1" applyAlignment="1">
      <alignment horizontal="left" vertical="center"/>
    </xf>
    <xf numFmtId="168" fontId="0" fillId="0" borderId="0" xfId="0" applyNumberFormat="1" applyAlignment="1">
      <alignment vertical="center"/>
    </xf>
    <xf numFmtId="0" fontId="2" fillId="0" borderId="1" xfId="6" applyFont="1" applyBorder="1" applyAlignment="1">
      <alignment horizontal="center" vertical="center" wrapText="1"/>
    </xf>
    <xf numFmtId="164" fontId="4" fillId="2" borderId="1" xfId="0" applyNumberFormat="1" applyFont="1" applyFill="1" applyBorder="1" applyAlignment="1">
      <alignment vertical="center"/>
    </xf>
    <xf numFmtId="164" fontId="5" fillId="0" borderId="1" xfId="0" applyNumberFormat="1" applyFont="1" applyBorder="1" applyAlignment="1">
      <alignment vertical="center"/>
    </xf>
    <xf numFmtId="164" fontId="6" fillId="0" borderId="1" xfId="0" applyNumberFormat="1" applyFont="1" applyBorder="1" applyAlignment="1">
      <alignment vertical="center"/>
    </xf>
    <xf numFmtId="0" fontId="5" fillId="0" borderId="1" xfId="6" applyFont="1" applyBorder="1" applyAlignment="1">
      <alignment horizontal="center" vertical="center" wrapText="1"/>
    </xf>
    <xf numFmtId="164" fontId="6" fillId="0" borderId="1" xfId="0" applyNumberFormat="1" applyFont="1" applyFill="1" applyBorder="1" applyAlignment="1">
      <alignment vertical="center"/>
    </xf>
    <xf numFmtId="164" fontId="0" fillId="0" borderId="1" xfId="0" applyNumberFormat="1" applyFont="1" applyFill="1" applyBorder="1" applyAlignment="1">
      <alignment vertical="center"/>
    </xf>
    <xf numFmtId="10" fontId="7" fillId="0" borderId="1" xfId="5" applyNumberFormat="1" applyFont="1" applyBorder="1" applyAlignment="1">
      <alignment vertical="center"/>
    </xf>
    <xf numFmtId="164" fontId="0" fillId="0" borderId="8" xfId="0" applyNumberFormat="1" applyFont="1" applyFill="1" applyBorder="1" applyAlignment="1">
      <alignment vertical="center"/>
    </xf>
    <xf numFmtId="10" fontId="1" fillId="0" borderId="8" xfId="5" applyNumberFormat="1" applyFont="1" applyBorder="1" applyAlignment="1">
      <alignment vertical="center"/>
    </xf>
    <xf numFmtId="164" fontId="4" fillId="2" borderId="15" xfId="0" applyNumberFormat="1" applyFont="1" applyFill="1" applyBorder="1" applyAlignment="1">
      <alignment vertical="center"/>
    </xf>
    <xf numFmtId="10" fontId="4" fillId="2" borderId="15" xfId="5" applyNumberFormat="1" applyFont="1" applyFill="1" applyBorder="1" applyAlignment="1">
      <alignment vertical="center"/>
    </xf>
    <xf numFmtId="164" fontId="5" fillId="0" borderId="19" xfId="0" applyNumberFormat="1" applyFont="1" applyBorder="1" applyAlignment="1">
      <alignment vertical="center"/>
    </xf>
    <xf numFmtId="10" fontId="6" fillId="0" borderId="1" xfId="6" applyNumberFormat="1" applyFont="1" applyFill="1" applyBorder="1" applyAlignment="1">
      <alignment vertical="center"/>
    </xf>
    <xf numFmtId="165" fontId="6" fillId="0" borderId="1" xfId="2" applyNumberFormat="1" applyFont="1" applyFill="1" applyBorder="1" applyAlignment="1">
      <alignment vertical="center"/>
    </xf>
    <xf numFmtId="165" fontId="6" fillId="0" borderId="1" xfId="2" applyNumberFormat="1" applyFont="1" applyBorder="1" applyAlignment="1">
      <alignment vertical="center"/>
    </xf>
    <xf numFmtId="10" fontId="4" fillId="2" borderId="1" xfId="5" applyNumberFormat="1" applyFont="1" applyFill="1" applyBorder="1" applyAlignment="1">
      <alignment horizontal="center" vertical="center"/>
    </xf>
    <xf numFmtId="165" fontId="4" fillId="2" borderId="1" xfId="2" applyNumberFormat="1" applyFont="1" applyFill="1" applyBorder="1" applyAlignment="1">
      <alignment horizontal="center" vertical="center"/>
    </xf>
    <xf numFmtId="164" fontId="5" fillId="0" borderId="1" xfId="0" applyNumberFormat="1" applyFont="1" applyBorder="1" applyAlignment="1">
      <alignment horizontal="right" vertical="center"/>
    </xf>
    <xf numFmtId="10" fontId="6" fillId="0" borderId="1" xfId="5" applyNumberFormat="1" applyFont="1" applyBorder="1" applyAlignment="1">
      <alignment horizontal="center" vertical="center"/>
    </xf>
    <xf numFmtId="10" fontId="15" fillId="9" borderId="2" xfId="5" applyNumberFormat="1" applyFont="1" applyFill="1" applyBorder="1" applyAlignment="1">
      <alignment horizontal="center" vertical="center" wrapText="1"/>
    </xf>
    <xf numFmtId="10" fontId="15" fillId="15" borderId="2" xfId="5" applyNumberFormat="1" applyFont="1" applyFill="1" applyBorder="1" applyAlignment="1">
      <alignment horizontal="center" vertical="center" wrapText="1"/>
    </xf>
    <xf numFmtId="0" fontId="15" fillId="9"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0" fontId="2" fillId="0" borderId="1" xfId="0" applyFont="1" applyBorder="1" applyAlignment="1">
      <alignment horizontal="center" vertical="center" wrapText="1"/>
    </xf>
    <xf numFmtId="10" fontId="15" fillId="16" borderId="2" xfId="5" applyNumberFormat="1" applyFont="1" applyFill="1" applyBorder="1" applyAlignment="1">
      <alignment horizontal="center" vertical="center" wrapText="1"/>
    </xf>
    <xf numFmtId="10" fontId="15" fillId="11" borderId="2" xfId="5" applyNumberFormat="1" applyFont="1" applyFill="1" applyBorder="1" applyAlignment="1">
      <alignment horizontal="center" vertical="center" wrapText="1"/>
    </xf>
    <xf numFmtId="10" fontId="15" fillId="12" borderId="2" xfId="5" applyNumberFormat="1" applyFont="1" applyFill="1" applyBorder="1" applyAlignment="1">
      <alignment horizontal="center" vertical="center" wrapText="1"/>
    </xf>
    <xf numFmtId="10" fontId="15" fillId="13" borderId="2" xfId="5" applyNumberFormat="1" applyFont="1" applyFill="1" applyBorder="1" applyAlignment="1">
      <alignment horizontal="center" vertical="center" wrapText="1"/>
    </xf>
    <xf numFmtId="10" fontId="15" fillId="14" borderId="2" xfId="5" applyNumberFormat="1" applyFont="1" applyFill="1" applyBorder="1" applyAlignment="1">
      <alignment horizontal="center" vertical="center" wrapText="1"/>
    </xf>
    <xf numFmtId="168" fontId="15" fillId="11" borderId="1" xfId="0" applyNumberFormat="1" applyFont="1" applyFill="1" applyBorder="1" applyAlignment="1">
      <alignment horizontal="center" vertical="center" wrapText="1"/>
    </xf>
    <xf numFmtId="168" fontId="15" fillId="12" borderId="1" xfId="0" applyNumberFormat="1" applyFont="1" applyFill="1" applyBorder="1" applyAlignment="1">
      <alignment horizontal="center" vertical="center" wrapText="1"/>
    </xf>
    <xf numFmtId="168" fontId="15" fillId="13" borderId="1" xfId="0" applyNumberFormat="1" applyFont="1" applyFill="1" applyBorder="1" applyAlignment="1">
      <alignment horizontal="center" vertical="center" wrapText="1"/>
    </xf>
    <xf numFmtId="168" fontId="15" fillId="9" borderId="1" xfId="0" applyNumberFormat="1" applyFont="1" applyFill="1" applyBorder="1" applyAlignment="1">
      <alignment horizontal="center" vertical="center" wrapText="1"/>
    </xf>
    <xf numFmtId="168" fontId="15" fillId="15" borderId="1" xfId="0" applyNumberFormat="1" applyFont="1" applyFill="1" applyBorder="1" applyAlignment="1">
      <alignment horizontal="center" vertical="center" wrapText="1"/>
    </xf>
    <xf numFmtId="168" fontId="15" fillId="16" borderId="1" xfId="0" applyNumberFormat="1" applyFont="1" applyFill="1" applyBorder="1" applyAlignment="1">
      <alignment horizontal="center" vertical="center" wrapText="1"/>
    </xf>
    <xf numFmtId="0" fontId="15" fillId="14" borderId="1"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2" borderId="1" xfId="0" applyFont="1" applyFill="1" applyBorder="1" applyAlignment="1">
      <alignment horizontal="center" vertical="center" wrapText="1"/>
    </xf>
    <xf numFmtId="0" fontId="15" fillId="13" borderId="1" xfId="0" applyFont="1" applyFill="1" applyBorder="1" applyAlignment="1">
      <alignment horizontal="center" vertical="center" wrapText="1"/>
    </xf>
    <xf numFmtId="168" fontId="15" fillId="14" borderId="1" xfId="0" applyNumberFormat="1" applyFont="1" applyFill="1" applyBorder="1" applyAlignment="1">
      <alignment horizontal="center" vertical="center" wrapText="1"/>
    </xf>
    <xf numFmtId="49" fontId="0" fillId="0" borderId="1" xfId="0" applyNumberFormat="1" applyBorder="1" applyAlignment="1">
      <alignment horizontal="center" vertical="center"/>
    </xf>
    <xf numFmtId="10" fontId="0" fillId="0" borderId="8" xfId="5" applyNumberFormat="1" applyFont="1" applyFill="1" applyBorder="1" applyAlignment="1">
      <alignment horizontal="center" vertical="center"/>
    </xf>
    <xf numFmtId="0" fontId="6" fillId="0" borderId="19" xfId="6"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3" fontId="6" fillId="3" borderId="1" xfId="0" applyNumberFormat="1" applyFont="1" applyFill="1" applyBorder="1" applyAlignment="1">
      <alignment horizontal="center" vertical="center"/>
    </xf>
    <xf numFmtId="165" fontId="6" fillId="0" borderId="1" xfId="6" applyNumberFormat="1" applyFont="1" applyBorder="1" applyAlignment="1">
      <alignment vertical="center"/>
    </xf>
    <xf numFmtId="165" fontId="6" fillId="0" borderId="1" xfId="6" applyNumberFormat="1" applyFont="1" applyBorder="1" applyAlignment="1">
      <alignment horizontal="center" vertical="center"/>
    </xf>
    <xf numFmtId="165" fontId="6" fillId="0" borderId="1" xfId="6" applyNumberFormat="1" applyFont="1" applyFill="1" applyBorder="1" applyAlignment="1">
      <alignment vertical="center"/>
    </xf>
    <xf numFmtId="173" fontId="6" fillId="3" borderId="9" xfId="0" applyNumberFormat="1" applyFont="1" applyFill="1" applyBorder="1" applyAlignment="1">
      <alignment horizontal="center" vertical="center"/>
    </xf>
    <xf numFmtId="0" fontId="21" fillId="2" borderId="1" xfId="6" applyFont="1" applyFill="1" applyBorder="1" applyAlignment="1">
      <alignment horizontal="center" vertical="center" wrapText="1"/>
    </xf>
    <xf numFmtId="3" fontId="6" fillId="3" borderId="2"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0" fontId="21" fillId="2" borderId="22" xfId="6" applyFont="1" applyFill="1" applyBorder="1" applyAlignment="1">
      <alignment horizontal="center" vertical="center" wrapText="1"/>
    </xf>
    <xf numFmtId="4" fontId="5" fillId="0" borderId="22"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4" fontId="5" fillId="0" borderId="23" xfId="0" applyNumberFormat="1" applyFont="1" applyFill="1" applyBorder="1" applyAlignment="1">
      <alignment horizontal="center" vertical="center"/>
    </xf>
    <xf numFmtId="9" fontId="6" fillId="0" borderId="1" xfId="0" applyNumberFormat="1" applyFont="1" applyBorder="1" applyAlignment="1">
      <alignment horizontal="center" vertical="center"/>
    </xf>
    <xf numFmtId="165" fontId="22" fillId="2" borderId="19" xfId="2" applyNumberFormat="1" applyFont="1" applyFill="1" applyBorder="1" applyAlignment="1">
      <alignment vertical="center"/>
    </xf>
    <xf numFmtId="166" fontId="22" fillId="2" borderId="19" xfId="2" applyNumberFormat="1" applyFont="1" applyFill="1" applyBorder="1" applyAlignment="1">
      <alignment vertical="center"/>
    </xf>
    <xf numFmtId="3" fontId="6" fillId="0" borderId="22" xfId="6" applyNumberFormat="1" applyFont="1" applyBorder="1" applyAlignment="1">
      <alignment horizontal="center" vertical="center"/>
    </xf>
    <xf numFmtId="1" fontId="6" fillId="0" borderId="2" xfId="6" applyNumberFormat="1" applyFont="1" applyBorder="1" applyAlignment="1">
      <alignment horizontal="center" vertical="center"/>
    </xf>
    <xf numFmtId="166" fontId="22" fillId="2" borderId="38" xfId="2" applyNumberFormat="1" applyFont="1" applyFill="1" applyBorder="1" applyAlignment="1">
      <alignment vertical="center"/>
    </xf>
    <xf numFmtId="0" fontId="2" fillId="0" borderId="14" xfId="6" applyFont="1" applyBorder="1" applyAlignment="1">
      <alignment horizontal="center" vertical="center" wrapText="1"/>
    </xf>
    <xf numFmtId="0" fontId="2" fillId="0" borderId="21" xfId="6" applyFont="1" applyBorder="1" applyAlignment="1">
      <alignment horizontal="center" vertical="center" wrapText="1"/>
    </xf>
    <xf numFmtId="3" fontId="6" fillId="0" borderId="16" xfId="6" applyNumberFormat="1" applyFont="1" applyBorder="1" applyAlignment="1">
      <alignment horizontal="center" vertical="center"/>
    </xf>
    <xf numFmtId="165" fontId="6" fillId="0" borderId="10" xfId="6" applyNumberFormat="1" applyFont="1" applyBorder="1" applyAlignment="1">
      <alignment vertical="center"/>
    </xf>
    <xf numFmtId="165" fontId="6" fillId="0" borderId="10" xfId="6" applyNumberFormat="1" applyFont="1" applyBorder="1" applyAlignment="1">
      <alignment horizontal="center" vertical="center"/>
    </xf>
    <xf numFmtId="165" fontId="6" fillId="0" borderId="10" xfId="6" applyNumberFormat="1" applyFont="1" applyFill="1" applyBorder="1" applyAlignment="1">
      <alignment vertical="center"/>
    </xf>
    <xf numFmtId="9" fontId="6" fillId="0" borderId="10" xfId="0" applyNumberFormat="1" applyFont="1" applyBorder="1" applyAlignment="1">
      <alignment horizontal="center" vertical="center"/>
    </xf>
    <xf numFmtId="1" fontId="6" fillId="0" borderId="12" xfId="6" applyNumberFormat="1" applyFont="1" applyBorder="1" applyAlignment="1">
      <alignment horizontal="center" vertical="center"/>
    </xf>
    <xf numFmtId="0" fontId="2" fillId="0" borderId="15" xfId="6" applyFont="1" applyBorder="1" applyAlignment="1">
      <alignment horizontal="center" vertical="center" wrapText="1"/>
    </xf>
    <xf numFmtId="0" fontId="2" fillId="0" borderId="39" xfId="6" applyFont="1" applyBorder="1" applyAlignment="1">
      <alignment horizontal="center" vertical="center" wrapText="1"/>
    </xf>
    <xf numFmtId="165" fontId="6" fillId="0" borderId="19" xfId="6" applyNumberFormat="1" applyFont="1" applyBorder="1" applyAlignment="1">
      <alignment vertical="center"/>
    </xf>
    <xf numFmtId="165" fontId="6" fillId="0" borderId="19" xfId="6" applyNumberFormat="1" applyFont="1" applyBorder="1" applyAlignment="1">
      <alignment horizontal="center" vertical="center"/>
    </xf>
    <xf numFmtId="165" fontId="6" fillId="0" borderId="19" xfId="6" applyNumberFormat="1" applyFont="1" applyFill="1" applyBorder="1" applyAlignment="1">
      <alignment vertical="center"/>
    </xf>
    <xf numFmtId="9" fontId="6" fillId="0" borderId="19" xfId="0" applyNumberFormat="1" applyFont="1" applyBorder="1" applyAlignment="1">
      <alignment horizontal="center" vertical="center"/>
    </xf>
    <xf numFmtId="1" fontId="6" fillId="0" borderId="38" xfId="6" applyNumberFormat="1" applyFont="1" applyBorder="1" applyAlignment="1">
      <alignment horizontal="center" vertical="center"/>
    </xf>
    <xf numFmtId="3" fontId="6" fillId="0" borderId="18" xfId="6" applyNumberFormat="1" applyFont="1" applyBorder="1" applyAlignment="1">
      <alignment horizontal="center" vertical="center"/>
    </xf>
    <xf numFmtId="3" fontId="6" fillId="0" borderId="23" xfId="6" applyNumberFormat="1" applyFont="1" applyBorder="1" applyAlignment="1">
      <alignment horizontal="center" vertical="center"/>
    </xf>
    <xf numFmtId="0" fontId="6" fillId="0" borderId="10" xfId="6" applyFont="1" applyBorder="1" applyAlignment="1">
      <alignment horizontal="center" vertical="center"/>
    </xf>
    <xf numFmtId="0" fontId="6" fillId="0" borderId="40" xfId="0" applyFont="1" applyBorder="1" applyAlignment="1">
      <alignment horizontal="center" vertical="center"/>
    </xf>
    <xf numFmtId="164" fontId="5" fillId="0" borderId="10" xfId="0" applyNumberFormat="1" applyFont="1" applyFill="1" applyBorder="1" applyAlignment="1">
      <alignment horizontal="center" vertical="center"/>
    </xf>
    <xf numFmtId="4" fontId="5" fillId="0" borderId="25" xfId="0" applyNumberFormat="1" applyFont="1" applyFill="1" applyBorder="1" applyAlignment="1">
      <alignment horizontal="center" vertical="center"/>
    </xf>
    <xf numFmtId="9" fontId="2" fillId="0" borderId="41" xfId="6" applyNumberFormat="1" applyFont="1" applyBorder="1" applyAlignment="1">
      <alignment horizontal="center" vertical="center" wrapText="1"/>
    </xf>
    <xf numFmtId="0" fontId="2" fillId="0" borderId="42" xfId="6" applyFont="1" applyBorder="1" applyAlignment="1">
      <alignment horizontal="center" vertical="center" wrapText="1"/>
    </xf>
    <xf numFmtId="0" fontId="21" fillId="2" borderId="15" xfId="6" applyFont="1" applyFill="1" applyBorder="1" applyAlignment="1">
      <alignment horizontal="center" vertical="center" wrapText="1"/>
    </xf>
    <xf numFmtId="0" fontId="21" fillId="2" borderId="21" xfId="6" applyFont="1" applyFill="1" applyBorder="1" applyAlignment="1">
      <alignment horizontal="center" vertical="center" wrapText="1"/>
    </xf>
    <xf numFmtId="173" fontId="6" fillId="3" borderId="43" xfId="0" applyNumberFormat="1" applyFont="1" applyFill="1" applyBorder="1" applyAlignment="1">
      <alignment horizontal="center" vertical="center"/>
    </xf>
    <xf numFmtId="3" fontId="6" fillId="3" borderId="19" xfId="0" applyNumberFormat="1" applyFont="1" applyFill="1" applyBorder="1" applyAlignment="1">
      <alignment horizontal="center" vertical="center"/>
    </xf>
    <xf numFmtId="3" fontId="6" fillId="3" borderId="38" xfId="0" applyNumberFormat="1" applyFont="1" applyFill="1" applyBorder="1" applyAlignment="1">
      <alignment horizontal="center" vertical="center"/>
    </xf>
    <xf numFmtId="0" fontId="21" fillId="2" borderId="19" xfId="6" applyFont="1" applyFill="1" applyBorder="1" applyAlignment="1">
      <alignment horizontal="center" vertical="center" wrapText="1"/>
    </xf>
    <xf numFmtId="0" fontId="21" fillId="2" borderId="23" xfId="6" applyFont="1" applyFill="1" applyBorder="1" applyAlignment="1">
      <alignment horizontal="center" vertical="center" wrapText="1"/>
    </xf>
    <xf numFmtId="0" fontId="5" fillId="0" borderId="8" xfId="6" applyFont="1" applyBorder="1" applyAlignment="1">
      <alignment horizontal="center" vertical="center" wrapText="1"/>
    </xf>
    <xf numFmtId="9" fontId="5" fillId="0" borderId="8" xfId="6" applyNumberFormat="1" applyFont="1" applyBorder="1" applyAlignment="1">
      <alignment horizontal="center" vertical="center" wrapText="1"/>
    </xf>
    <xf numFmtId="10" fontId="6" fillId="0" borderId="10" xfId="6" applyNumberFormat="1" applyFont="1" applyFill="1" applyBorder="1" applyAlignment="1">
      <alignment vertical="center"/>
    </xf>
    <xf numFmtId="165" fontId="6" fillId="0" borderId="10" xfId="2" applyNumberFormat="1" applyFont="1" applyFill="1" applyBorder="1" applyAlignment="1">
      <alignment vertical="center"/>
    </xf>
    <xf numFmtId="10" fontId="6" fillId="0" borderId="10" xfId="5" applyNumberFormat="1" applyFont="1" applyBorder="1" applyAlignment="1">
      <alignment vertical="center"/>
    </xf>
    <xf numFmtId="10" fontId="6" fillId="0" borderId="15" xfId="6" applyNumberFormat="1" applyFont="1" applyFill="1" applyBorder="1" applyAlignment="1">
      <alignment vertical="center"/>
    </xf>
    <xf numFmtId="165" fontId="6" fillId="0" borderId="15" xfId="2" applyNumberFormat="1" applyFont="1" applyFill="1" applyBorder="1" applyAlignment="1">
      <alignment vertical="center"/>
    </xf>
    <xf numFmtId="10" fontId="6" fillId="0" borderId="15" xfId="5" applyNumberFormat="1" applyFont="1" applyBorder="1" applyAlignment="1">
      <alignment vertical="center"/>
    </xf>
    <xf numFmtId="10" fontId="6" fillId="0" borderId="19" xfId="6" applyNumberFormat="1" applyFont="1" applyFill="1" applyBorder="1" applyAlignment="1">
      <alignment vertical="center"/>
    </xf>
    <xf numFmtId="165" fontId="6" fillId="0" borderId="19" xfId="2" applyNumberFormat="1" applyFont="1" applyFill="1" applyBorder="1" applyAlignment="1">
      <alignment vertical="center"/>
    </xf>
    <xf numFmtId="10" fontId="6" fillId="0" borderId="19" xfId="5" applyNumberFormat="1" applyFont="1" applyBorder="1" applyAlignment="1">
      <alignment vertical="center"/>
    </xf>
    <xf numFmtId="10" fontId="6" fillId="0" borderId="19" xfId="5" applyNumberFormat="1" applyFont="1" applyBorder="1" applyAlignment="1">
      <alignment horizontal="center" vertical="center"/>
    </xf>
    <xf numFmtId="10" fontId="6" fillId="0" borderId="8" xfId="6" applyNumberFormat="1" applyFont="1" applyFill="1" applyBorder="1" applyAlignment="1">
      <alignment vertical="center"/>
    </xf>
    <xf numFmtId="165" fontId="6" fillId="0" borderId="8" xfId="2" applyNumberFormat="1" applyFont="1" applyFill="1" applyBorder="1" applyAlignment="1">
      <alignment vertical="center"/>
    </xf>
    <xf numFmtId="10" fontId="6" fillId="0" borderId="8" xfId="5" applyNumberFormat="1" applyFont="1" applyBorder="1" applyAlignment="1">
      <alignment vertical="center"/>
    </xf>
    <xf numFmtId="165" fontId="4" fillId="2" borderId="15" xfId="2" applyNumberFormat="1" applyFont="1" applyFill="1" applyBorder="1" applyAlignment="1">
      <alignment vertical="center"/>
    </xf>
    <xf numFmtId="164" fontId="5" fillId="0" borderId="15" xfId="0" applyNumberFormat="1" applyFont="1" applyBorder="1" applyAlignment="1">
      <alignment vertical="center"/>
    </xf>
    <xf numFmtId="164" fontId="0" fillId="0" borderId="19" xfId="0" applyNumberFormat="1" applyFont="1" applyFill="1" applyBorder="1" applyAlignment="1">
      <alignment vertical="center"/>
    </xf>
    <xf numFmtId="10" fontId="1" fillId="0" borderId="19" xfId="5" applyNumberFormat="1" applyFont="1" applyBorder="1" applyAlignment="1">
      <alignment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168" fontId="0" fillId="0" borderId="1" xfId="0" applyNumberFormat="1" applyBorder="1" applyAlignment="1">
      <alignment horizontal="center" vertical="center" wrapText="1"/>
    </xf>
    <xf numFmtId="168" fontId="0" fillId="0" borderId="8" xfId="0" applyNumberFormat="1" applyBorder="1" applyAlignment="1">
      <alignment horizontal="center" vertical="center" wrapText="1"/>
    </xf>
    <xf numFmtId="168" fontId="0" fillId="7" borderId="15" xfId="0" applyNumberFormat="1" applyFill="1" applyBorder="1" applyAlignment="1">
      <alignment horizontal="center" vertical="center" wrapText="1"/>
    </xf>
    <xf numFmtId="168" fontId="0" fillId="7" borderId="1" xfId="0" applyNumberFormat="1" applyFill="1" applyBorder="1" applyAlignment="1">
      <alignment horizontal="center" vertical="center" wrapText="1"/>
    </xf>
    <xf numFmtId="168" fontId="0" fillId="7" borderId="19" xfId="0" applyNumberFormat="1" applyFill="1" applyBorder="1" applyAlignment="1">
      <alignment horizontal="center" vertical="center" wrapText="1"/>
    </xf>
    <xf numFmtId="164" fontId="0" fillId="0" borderId="1" xfId="0" applyNumberFormat="1" applyBorder="1" applyAlignment="1">
      <alignment vertical="center"/>
    </xf>
    <xf numFmtId="164" fontId="0" fillId="0" borderId="1" xfId="0" applyNumberFormat="1" applyFill="1" applyBorder="1" applyAlignment="1">
      <alignment vertical="center"/>
    </xf>
    <xf numFmtId="164" fontId="0" fillId="0" borderId="8" xfId="0" applyNumberFormat="1" applyBorder="1" applyAlignment="1">
      <alignment vertical="center"/>
    </xf>
    <xf numFmtId="164" fontId="0" fillId="7" borderId="15" xfId="0" applyNumberFormat="1" applyFill="1" applyBorder="1" applyAlignment="1">
      <alignment vertical="center"/>
    </xf>
    <xf numFmtId="164" fontId="0" fillId="7" borderId="1" xfId="0" applyNumberFormat="1" applyFill="1" applyBorder="1" applyAlignment="1">
      <alignment vertical="center"/>
    </xf>
    <xf numFmtId="164" fontId="0" fillId="7" borderId="19" xfId="0" applyNumberFormat="1" applyFill="1" applyBorder="1" applyAlignment="1">
      <alignment vertical="center"/>
    </xf>
    <xf numFmtId="174" fontId="0" fillId="0" borderId="1" xfId="0" applyNumberFormat="1" applyBorder="1" applyAlignment="1">
      <alignment vertical="center"/>
    </xf>
    <xf numFmtId="174" fontId="0" fillId="0" borderId="8" xfId="0" applyNumberFormat="1" applyBorder="1" applyAlignment="1">
      <alignment vertical="center"/>
    </xf>
    <xf numFmtId="174" fontId="0" fillId="7" borderId="15" xfId="0" applyNumberFormat="1" applyFill="1" applyBorder="1" applyAlignment="1">
      <alignment vertical="center"/>
    </xf>
    <xf numFmtId="174" fontId="0" fillId="7" borderId="1" xfId="0" applyNumberFormat="1" applyFill="1" applyBorder="1" applyAlignment="1">
      <alignment vertical="center"/>
    </xf>
    <xf numFmtId="174" fontId="0" fillId="7" borderId="19" xfId="0" applyNumberFormat="1" applyFill="1" applyBorder="1" applyAlignment="1">
      <alignment vertical="center"/>
    </xf>
    <xf numFmtId="0" fontId="9" fillId="0" borderId="22" xfId="0" applyFont="1" applyBorder="1" applyAlignment="1">
      <alignment horizontal="center" vertical="center" wrapText="1"/>
    </xf>
    <xf numFmtId="49" fontId="0" fillId="0" borderId="16" xfId="0" applyNumberFormat="1" applyBorder="1" applyAlignment="1">
      <alignment horizontal="center" vertical="center"/>
    </xf>
    <xf numFmtId="10" fontId="0" fillId="0" borderId="22" xfId="5" applyNumberFormat="1" applyFont="1" applyFill="1" applyBorder="1" applyAlignment="1">
      <alignment horizontal="center" vertical="center"/>
    </xf>
    <xf numFmtId="49" fontId="0" fillId="0" borderId="26" xfId="0" applyNumberFormat="1" applyBorder="1" applyAlignment="1">
      <alignment horizontal="center" vertical="center"/>
    </xf>
    <xf numFmtId="10" fontId="0" fillId="0" borderId="24" xfId="5" applyNumberFormat="1" applyFont="1" applyFill="1" applyBorder="1" applyAlignment="1">
      <alignment horizontal="center" vertical="center"/>
    </xf>
    <xf numFmtId="10" fontId="0" fillId="7" borderId="21" xfId="5" applyNumberFormat="1" applyFont="1" applyFill="1" applyBorder="1" applyAlignment="1">
      <alignment horizontal="center" vertical="center"/>
    </xf>
    <xf numFmtId="10" fontId="0" fillId="7" borderId="22" xfId="5" applyNumberFormat="1" applyFont="1" applyFill="1" applyBorder="1" applyAlignment="1">
      <alignment horizontal="center" vertical="center"/>
    </xf>
    <xf numFmtId="10" fontId="0" fillId="7" borderId="23" xfId="5" applyNumberFormat="1" applyFont="1" applyFill="1" applyBorder="1" applyAlignment="1">
      <alignment horizontal="center" vertical="center"/>
    </xf>
    <xf numFmtId="0" fontId="22" fillId="2" borderId="47" xfId="0" applyFont="1" applyFill="1" applyBorder="1" applyAlignment="1">
      <alignment horizontal="center" vertical="center"/>
    </xf>
    <xf numFmtId="164" fontId="22" fillId="2" borderId="48" xfId="0" applyNumberFormat="1" applyFont="1" applyFill="1" applyBorder="1" applyAlignment="1">
      <alignment vertical="center"/>
    </xf>
    <xf numFmtId="9" fontId="22" fillId="2" borderId="48" xfId="5" applyFont="1" applyFill="1" applyBorder="1" applyAlignment="1">
      <alignment horizontal="center" vertical="center"/>
    </xf>
    <xf numFmtId="0" fontId="24" fillId="2" borderId="48" xfId="0" applyFont="1" applyFill="1" applyBorder="1" applyAlignment="1">
      <alignment vertical="center"/>
    </xf>
    <xf numFmtId="174" fontId="22" fillId="2" borderId="48" xfId="0" applyNumberFormat="1" applyFont="1" applyFill="1" applyBorder="1" applyAlignment="1">
      <alignment vertical="center"/>
    </xf>
    <xf numFmtId="10" fontId="22" fillId="2" borderId="20" xfId="5" applyNumberFormat="1" applyFont="1" applyFill="1" applyBorder="1" applyAlignment="1">
      <alignment horizontal="center" vertical="center"/>
    </xf>
    <xf numFmtId="49" fontId="0" fillId="0" borderId="16" xfId="0" applyNumberFormat="1" applyFill="1" applyBorder="1" applyAlignment="1">
      <alignment horizontal="center" vertical="center"/>
    </xf>
    <xf numFmtId="10" fontId="0" fillId="0" borderId="22" xfId="5" applyNumberFormat="1" applyFont="1" applyBorder="1" applyAlignment="1">
      <alignment horizontal="center" vertical="center"/>
    </xf>
    <xf numFmtId="164" fontId="0" fillId="0" borderId="8" xfId="0" applyNumberFormat="1" applyFill="1" applyBorder="1" applyAlignment="1">
      <alignment vertical="center"/>
    </xf>
    <xf numFmtId="10" fontId="22" fillId="2" borderId="48" xfId="5" applyNumberFormat="1" applyFont="1" applyFill="1" applyBorder="1" applyAlignment="1">
      <alignment horizontal="center" vertical="center"/>
    </xf>
    <xf numFmtId="174" fontId="22" fillId="2" borderId="19" xfId="5" applyNumberFormat="1" applyFont="1" applyFill="1" applyBorder="1" applyAlignment="1">
      <alignment horizontal="center" vertical="center"/>
    </xf>
    <xf numFmtId="164" fontId="0" fillId="0" borderId="1" xfId="0" applyNumberFormat="1" applyFill="1" applyBorder="1" applyAlignment="1">
      <alignment horizontal="right" vertical="center"/>
    </xf>
    <xf numFmtId="164" fontId="0" fillId="0" borderId="8" xfId="0" applyNumberFormat="1" applyFill="1" applyBorder="1" applyAlignment="1">
      <alignment horizontal="right" vertical="center"/>
    </xf>
    <xf numFmtId="10" fontId="22" fillId="2" borderId="23" xfId="5" applyNumberFormat="1" applyFont="1" applyFill="1" applyBorder="1" applyAlignment="1">
      <alignment horizontal="center" vertical="center"/>
    </xf>
    <xf numFmtId="168" fontId="0" fillId="0" borderId="2" xfId="0" applyNumberFormat="1" applyBorder="1" applyAlignment="1">
      <alignment vertical="center"/>
    </xf>
    <xf numFmtId="168" fontId="15" fillId="11" borderId="2" xfId="0" applyNumberFormat="1" applyFont="1" applyFill="1" applyBorder="1" applyAlignment="1">
      <alignment horizontal="center" vertical="center" wrapText="1"/>
    </xf>
    <xf numFmtId="0" fontId="15" fillId="11" borderId="2" xfId="0" applyFont="1" applyFill="1" applyBorder="1" applyAlignment="1">
      <alignment horizontal="center" vertical="center" wrapText="1"/>
    </xf>
    <xf numFmtId="168" fontId="2" fillId="0" borderId="1" xfId="0" applyNumberFormat="1" applyFont="1" applyBorder="1" applyAlignment="1">
      <alignment vertical="center"/>
    </xf>
    <xf numFmtId="168" fontId="21" fillId="2" borderId="2" xfId="0" applyNumberFormat="1" applyFont="1" applyFill="1" applyBorder="1" applyAlignment="1">
      <alignment vertical="center"/>
    </xf>
    <xf numFmtId="0" fontId="2" fillId="0" borderId="26" xfId="0" applyFont="1" applyBorder="1" applyAlignment="1">
      <alignment vertical="center" wrapText="1"/>
    </xf>
    <xf numFmtId="0" fontId="21" fillId="2" borderId="22" xfId="0" applyFont="1" applyFill="1" applyBorder="1" applyAlignment="1">
      <alignment horizontal="center" vertical="center" wrapText="1"/>
    </xf>
    <xf numFmtId="0" fontId="2" fillId="0" borderId="26" xfId="0" applyFont="1" applyBorder="1" applyAlignment="1">
      <alignment horizontal="center" vertical="center" wrapText="1"/>
    </xf>
    <xf numFmtId="49" fontId="0" fillId="0" borderId="16" xfId="0" applyNumberFormat="1" applyBorder="1" applyAlignment="1">
      <alignment horizontal="left" vertical="center"/>
    </xf>
    <xf numFmtId="10" fontId="2" fillId="0" borderId="22" xfId="5" applyNumberFormat="1" applyFont="1" applyBorder="1" applyAlignment="1">
      <alignment vertical="center"/>
    </xf>
    <xf numFmtId="49" fontId="23" fillId="2" borderId="16" xfId="0" applyNumberFormat="1" applyFont="1" applyFill="1" applyBorder="1" applyAlignment="1">
      <alignment horizontal="left" vertical="center"/>
    </xf>
    <xf numFmtId="0" fontId="2" fillId="0" borderId="18" xfId="0" applyFont="1" applyBorder="1" applyAlignment="1">
      <alignment vertical="center" wrapText="1"/>
    </xf>
    <xf numFmtId="10" fontId="15" fillId="11" borderId="38" xfId="5" applyNumberFormat="1" applyFont="1" applyFill="1" applyBorder="1" applyAlignment="1">
      <alignment horizontal="center" vertical="center" wrapText="1"/>
    </xf>
    <xf numFmtId="10" fontId="15" fillId="12" borderId="19" xfId="5" applyNumberFormat="1" applyFont="1" applyFill="1" applyBorder="1" applyAlignment="1">
      <alignment horizontal="center" vertical="center" wrapText="1"/>
    </xf>
    <xf numFmtId="10" fontId="15" fillId="13" borderId="19" xfId="5" applyNumberFormat="1" applyFont="1" applyFill="1" applyBorder="1" applyAlignment="1">
      <alignment horizontal="center" vertical="center" wrapText="1"/>
    </xf>
    <xf numFmtId="10" fontId="15" fillId="14" borderId="19" xfId="5" applyNumberFormat="1" applyFont="1" applyFill="1" applyBorder="1" applyAlignment="1">
      <alignment horizontal="center" vertical="center" wrapText="1"/>
    </xf>
    <xf numFmtId="10" fontId="15" fillId="16" borderId="19" xfId="5" applyNumberFormat="1" applyFont="1" applyFill="1" applyBorder="1" applyAlignment="1">
      <alignment horizontal="center" vertical="center" wrapText="1"/>
    </xf>
    <xf numFmtId="10" fontId="15" fillId="9" borderId="19" xfId="5" applyNumberFormat="1" applyFont="1" applyFill="1" applyBorder="1" applyAlignment="1">
      <alignment horizontal="center" vertical="center" wrapText="1"/>
    </xf>
    <xf numFmtId="10" fontId="15" fillId="15" borderId="19" xfId="5" applyNumberFormat="1" applyFont="1" applyFill="1" applyBorder="1" applyAlignment="1">
      <alignment horizontal="center" vertical="center" wrapText="1"/>
    </xf>
    <xf numFmtId="10" fontId="15" fillId="11" borderId="19" xfId="5" applyNumberFormat="1" applyFont="1" applyFill="1" applyBorder="1" applyAlignment="1">
      <alignment horizontal="center" vertical="center" wrapText="1"/>
    </xf>
    <xf numFmtId="168" fontId="21" fillId="2" borderId="2" xfId="4" applyNumberFormat="1" applyFont="1" applyFill="1" applyBorder="1" applyAlignment="1">
      <alignment vertical="center"/>
    </xf>
    <xf numFmtId="168" fontId="21" fillId="2" borderId="1" xfId="0" applyNumberFormat="1" applyFont="1" applyFill="1" applyBorder="1" applyAlignment="1">
      <alignment vertical="center"/>
    </xf>
    <xf numFmtId="0" fontId="21" fillId="2" borderId="16" xfId="0" applyFont="1" applyFill="1" applyBorder="1" applyAlignment="1">
      <alignment horizontal="center" vertical="center" wrapText="1"/>
    </xf>
    <xf numFmtId="0" fontId="21" fillId="2" borderId="26" xfId="0" applyFont="1" applyFill="1" applyBorder="1" applyAlignment="1">
      <alignment horizontal="center" vertical="center" wrapText="1"/>
    </xf>
    <xf numFmtId="0" fontId="21" fillId="2" borderId="1" xfId="0" applyFont="1" applyFill="1" applyBorder="1" applyAlignment="1">
      <alignment horizontal="center" vertical="center" wrapText="1"/>
    </xf>
    <xf numFmtId="164" fontId="0" fillId="0" borderId="1" xfId="5" applyNumberFormat="1" applyFont="1" applyFill="1" applyBorder="1" applyAlignment="1">
      <alignment horizontal="right" vertical="center"/>
    </xf>
    <xf numFmtId="0" fontId="22" fillId="2" borderId="1" xfId="0" applyFont="1" applyFill="1" applyBorder="1" applyAlignment="1">
      <alignment horizontal="center" vertical="center"/>
    </xf>
    <xf numFmtId="9" fontId="22" fillId="2" borderId="1" xfId="5" applyFont="1" applyFill="1" applyBorder="1" applyAlignment="1">
      <alignment vertical="center"/>
    </xf>
    <xf numFmtId="4" fontId="22" fillId="2" borderId="1" xfId="0" applyNumberFormat="1" applyFont="1" applyFill="1" applyBorder="1" applyAlignment="1">
      <alignment vertical="center"/>
    </xf>
    <xf numFmtId="10" fontId="22" fillId="2" borderId="1" xfId="5" applyNumberFormat="1" applyFont="1" applyFill="1" applyBorder="1" applyAlignment="1">
      <alignment vertical="center"/>
    </xf>
    <xf numFmtId="164" fontId="22" fillId="2" borderId="1" xfId="5" applyNumberFormat="1" applyFont="1" applyFill="1" applyBorder="1" applyAlignment="1">
      <alignment horizontal="right" vertical="center"/>
    </xf>
    <xf numFmtId="4" fontId="24" fillId="2" borderId="1" xfId="5" applyNumberFormat="1" applyFont="1" applyFill="1" applyBorder="1" applyAlignment="1">
      <alignment horizontal="right" vertical="center"/>
    </xf>
    <xf numFmtId="170" fontId="24" fillId="2" borderId="1" xfId="0" applyNumberFormat="1" applyFont="1" applyFill="1" applyBorder="1" applyAlignment="1">
      <alignment vertical="center"/>
    </xf>
    <xf numFmtId="9" fontId="22" fillId="2" borderId="1" xfId="0" applyNumberFormat="1" applyFont="1" applyFill="1" applyBorder="1" applyAlignment="1">
      <alignment vertical="center"/>
    </xf>
    <xf numFmtId="9" fontId="7" fillId="0" borderId="0" xfId="0" applyNumberFormat="1" applyFont="1" applyAlignment="1">
      <alignment vertical="center"/>
    </xf>
    <xf numFmtId="9" fontId="6" fillId="0" borderId="1" xfId="5" applyFont="1" applyFill="1" applyBorder="1" applyAlignment="1">
      <alignment vertical="center"/>
    </xf>
    <xf numFmtId="10" fontId="22" fillId="2" borderId="1" xfId="5" applyNumberFormat="1" applyFont="1" applyFill="1" applyBorder="1" applyAlignment="1">
      <alignment horizontal="center" vertical="center"/>
    </xf>
    <xf numFmtId="44" fontId="24" fillId="2" borderId="22" xfId="3" applyFont="1" applyFill="1" applyBorder="1" applyAlignment="1">
      <alignment vertical="center"/>
    </xf>
    <xf numFmtId="44" fontId="6" fillId="0" borderId="22" xfId="3" applyFont="1" applyBorder="1" applyAlignment="1">
      <alignment vertical="center"/>
    </xf>
    <xf numFmtId="44" fontId="6" fillId="0" borderId="23" xfId="3" applyFont="1" applyBorder="1" applyAlignment="1">
      <alignment vertical="center"/>
    </xf>
    <xf numFmtId="0" fontId="21" fillId="2" borderId="26" xfId="0" applyFont="1" applyFill="1" applyBorder="1" applyAlignment="1">
      <alignment vertical="center" wrapText="1"/>
    </xf>
    <xf numFmtId="10" fontId="15" fillId="12" borderId="38" xfId="5" applyNumberFormat="1" applyFont="1" applyFill="1" applyBorder="1" applyAlignment="1">
      <alignment horizontal="center" vertical="center" wrapText="1"/>
    </xf>
    <xf numFmtId="10" fontId="15" fillId="13" borderId="38" xfId="5" applyNumberFormat="1" applyFont="1" applyFill="1" applyBorder="1" applyAlignment="1">
      <alignment horizontal="center" vertical="center" wrapText="1"/>
    </xf>
    <xf numFmtId="10" fontId="15" fillId="14" borderId="38" xfId="5" applyNumberFormat="1" applyFont="1" applyFill="1" applyBorder="1" applyAlignment="1">
      <alignment horizontal="center" vertical="center" wrapText="1"/>
    </xf>
    <xf numFmtId="10" fontId="15" fillId="16" borderId="38" xfId="5" applyNumberFormat="1" applyFont="1" applyFill="1" applyBorder="1" applyAlignment="1">
      <alignment horizontal="center" vertical="center" wrapText="1"/>
    </xf>
    <xf numFmtId="10" fontId="15" fillId="9" borderId="38" xfId="5" applyNumberFormat="1" applyFont="1" applyFill="1" applyBorder="1" applyAlignment="1">
      <alignment horizontal="center" vertical="center" wrapText="1"/>
    </xf>
    <xf numFmtId="10" fontId="15" fillId="15" borderId="38" xfId="5" applyNumberFormat="1" applyFont="1" applyFill="1" applyBorder="1" applyAlignment="1">
      <alignment horizontal="center" vertical="center" wrapText="1"/>
    </xf>
    <xf numFmtId="10" fontId="21" fillId="2" borderId="38" xfId="5" applyNumberFormat="1" applyFont="1" applyFill="1" applyBorder="1" applyAlignment="1">
      <alignment horizontal="center" vertical="center"/>
    </xf>
    <xf numFmtId="0" fontId="2" fillId="0" borderId="26" xfId="0" applyFont="1" applyBorder="1" applyAlignment="1">
      <alignment horizontal="left" vertical="center" wrapText="1" indent="1"/>
    </xf>
    <xf numFmtId="10" fontId="26" fillId="0" borderId="0" xfId="5" applyNumberFormat="1" applyFont="1" applyAlignment="1">
      <alignment horizontal="center" vertical="center" wrapText="1"/>
    </xf>
    <xf numFmtId="44" fontId="6" fillId="0" borderId="22" xfId="3" applyNumberFormat="1" applyFont="1" applyBorder="1" applyAlignment="1">
      <alignment vertical="center"/>
    </xf>
    <xf numFmtId="0" fontId="0" fillId="0" borderId="1" xfId="0" applyBorder="1" applyAlignment="1">
      <alignment horizontal="center" vertical="center"/>
    </xf>
    <xf numFmtId="0" fontId="2" fillId="0" borderId="0" xfId="0" applyFont="1"/>
    <xf numFmtId="0" fontId="0" fillId="0" borderId="0" xfId="0" applyBorder="1"/>
    <xf numFmtId="0" fontId="0" fillId="0" borderId="1" xfId="0" applyBorder="1"/>
    <xf numFmtId="3" fontId="0" fillId="0" borderId="1" xfId="0" applyNumberFormat="1" applyFont="1" applyBorder="1" applyAlignment="1">
      <alignment horizontal="center" vertical="center"/>
    </xf>
    <xf numFmtId="3" fontId="0" fillId="0" borderId="1" xfId="0" applyNumberFormat="1" applyFont="1" applyBorder="1" applyAlignment="1">
      <alignment vertical="center"/>
    </xf>
    <xf numFmtId="3" fontId="0" fillId="0" borderId="1" xfId="0" applyNumberFormat="1" applyBorder="1" applyAlignment="1"/>
    <xf numFmtId="0" fontId="27" fillId="0" borderId="1" xfId="0" applyFont="1" applyBorder="1" applyAlignment="1">
      <alignment horizontal="center"/>
    </xf>
    <xf numFmtId="0" fontId="27" fillId="17" borderId="1" xfId="0" applyFont="1" applyFill="1" applyBorder="1" applyAlignment="1">
      <alignment horizontal="center"/>
    </xf>
    <xf numFmtId="3" fontId="0" fillId="0" borderId="1" xfId="0" applyNumberFormat="1" applyBorder="1" applyAlignment="1">
      <alignment horizontal="center" vertical="center"/>
    </xf>
    <xf numFmtId="3" fontId="0" fillId="0" borderId="1" xfId="0" applyNumberFormat="1" applyBorder="1" applyAlignment="1">
      <alignment vertical="center"/>
    </xf>
    <xf numFmtId="49" fontId="0" fillId="0" borderId="1" xfId="0" applyNumberFormat="1" applyBorder="1" applyAlignment="1">
      <alignment horizontal="left" vertical="center" indent="1"/>
    </xf>
    <xf numFmtId="0" fontId="0" fillId="18" borderId="1" xfId="0" applyFill="1" applyBorder="1"/>
    <xf numFmtId="0" fontId="24" fillId="2" borderId="0" xfId="0" applyFont="1" applyFill="1" applyBorder="1"/>
    <xf numFmtId="0" fontId="23" fillId="2" borderId="1" xfId="0" applyFont="1" applyFill="1" applyBorder="1"/>
    <xf numFmtId="3" fontId="23" fillId="2" borderId="1" xfId="0" applyNumberFormat="1" applyFont="1" applyFill="1" applyBorder="1" applyAlignment="1"/>
    <xf numFmtId="3" fontId="23" fillId="2" borderId="1" xfId="0" applyNumberFormat="1" applyFont="1" applyFill="1" applyBorder="1"/>
    <xf numFmtId="0" fontId="0" fillId="8" borderId="0" xfId="0" applyFill="1"/>
    <xf numFmtId="0" fontId="2" fillId="8" borderId="0" xfId="0" applyFont="1" applyFill="1"/>
    <xf numFmtId="0" fontId="15" fillId="0" borderId="1" xfId="0" applyFont="1" applyFill="1" applyBorder="1" applyAlignment="1">
      <alignment horizontal="center" vertical="center" wrapText="1"/>
    </xf>
    <xf numFmtId="168" fontId="0" fillId="0" borderId="1" xfId="0" applyNumberFormat="1" applyBorder="1" applyAlignment="1">
      <alignment vertical="center"/>
    </xf>
    <xf numFmtId="168" fontId="2" fillId="0" borderId="1" xfId="5" applyNumberFormat="1" applyFont="1" applyBorder="1" applyAlignment="1">
      <alignment vertical="center"/>
    </xf>
    <xf numFmtId="168" fontId="21" fillId="2" borderId="1" xfId="4" applyNumberFormat="1" applyFont="1" applyFill="1" applyBorder="1" applyAlignment="1">
      <alignment vertical="center"/>
    </xf>
    <xf numFmtId="10" fontId="0" fillId="0" borderId="22" xfId="5" applyNumberFormat="1" applyFont="1" applyBorder="1" applyAlignment="1">
      <alignment vertical="center"/>
    </xf>
    <xf numFmtId="0" fontId="21" fillId="2" borderId="16" xfId="0" applyFont="1" applyFill="1" applyBorder="1" applyAlignment="1">
      <alignment vertical="center" wrapText="1"/>
    </xf>
    <xf numFmtId="10" fontId="15" fillId="0" borderId="19" xfId="5" applyNumberFormat="1" applyFont="1" applyFill="1" applyBorder="1" applyAlignment="1">
      <alignment horizontal="center" vertical="center" wrapText="1"/>
    </xf>
    <xf numFmtId="10" fontId="21" fillId="2" borderId="19" xfId="5" applyNumberFormat="1" applyFont="1" applyFill="1" applyBorder="1" applyAlignment="1">
      <alignment horizontal="center" vertical="center" wrapText="1"/>
    </xf>
    <xf numFmtId="168" fontId="0" fillId="0" borderId="1" xfId="0" applyNumberFormat="1" applyFont="1" applyBorder="1" applyAlignment="1">
      <alignment horizontal="center"/>
    </xf>
    <xf numFmtId="49" fontId="0" fillId="19" borderId="1" xfId="0" applyNumberFormat="1" applyFill="1" applyBorder="1" applyAlignment="1">
      <alignment horizontal="left" vertical="center" indent="1"/>
    </xf>
    <xf numFmtId="168" fontId="2" fillId="18" borderId="1" xfId="0" applyNumberFormat="1" applyFont="1" applyFill="1" applyBorder="1"/>
    <xf numFmtId="0" fontId="0" fillId="0" borderId="1" xfId="0" applyBorder="1" applyAlignment="1">
      <alignment horizontal="center"/>
    </xf>
    <xf numFmtId="0" fontId="27" fillId="17" borderId="1" xfId="0" applyFont="1" applyFill="1" applyBorder="1" applyAlignment="1">
      <alignment horizontal="center" vertical="center"/>
    </xf>
    <xf numFmtId="0" fontId="0" fillId="8" borderId="0" xfId="0" applyFill="1" applyAlignment="1">
      <alignment horizontal="center" vertical="center"/>
    </xf>
    <xf numFmtId="168" fontId="23" fillId="2" borderId="1" xfId="0" applyNumberFormat="1" applyFont="1" applyFill="1" applyBorder="1" applyAlignment="1">
      <alignment horizontal="center" vertical="center"/>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5" fillId="0" borderId="26" xfId="6" applyFont="1" applyBorder="1" applyAlignment="1">
      <alignment horizontal="center" vertical="center" wrapText="1"/>
    </xf>
    <xf numFmtId="0" fontId="5" fillId="0" borderId="8" xfId="6" applyFont="1" applyBorder="1" applyAlignment="1">
      <alignment horizontal="center" vertical="center" wrapText="1"/>
    </xf>
    <xf numFmtId="0" fontId="18" fillId="11" borderId="14" xfId="0" applyFont="1" applyFill="1" applyBorder="1" applyAlignment="1">
      <alignment vertical="center" wrapText="1"/>
    </xf>
    <xf numFmtId="0" fontId="18" fillId="11" borderId="15" xfId="0" applyFont="1" applyFill="1" applyBorder="1" applyAlignment="1">
      <alignment vertical="center" wrapText="1"/>
    </xf>
    <xf numFmtId="0" fontId="18" fillId="12" borderId="16" xfId="0" applyFont="1" applyFill="1" applyBorder="1" applyAlignment="1">
      <alignment vertical="center" wrapText="1"/>
    </xf>
    <xf numFmtId="0" fontId="18" fillId="12" borderId="1" xfId="0" applyFont="1" applyFill="1" applyBorder="1" applyAlignment="1">
      <alignment vertical="center" wrapText="1"/>
    </xf>
    <xf numFmtId="0" fontId="18" fillId="13" borderId="16" xfId="0" applyFont="1" applyFill="1" applyBorder="1" applyAlignment="1">
      <alignment vertical="center" wrapText="1"/>
    </xf>
    <xf numFmtId="0" fontId="18" fillId="13" borderId="1" xfId="0" applyFont="1" applyFill="1" applyBorder="1" applyAlignment="1">
      <alignment vertical="center" wrapText="1"/>
    </xf>
    <xf numFmtId="0" fontId="18" fillId="10" borderId="27" xfId="0" applyFont="1" applyFill="1" applyBorder="1" applyAlignment="1">
      <alignment horizontal="left" vertical="center" wrapText="1"/>
    </xf>
    <xf numFmtId="0" fontId="18" fillId="10" borderId="10" xfId="0" applyFont="1" applyFill="1" applyBorder="1" applyAlignment="1">
      <alignment horizontal="left" vertical="center" wrapText="1"/>
    </xf>
    <xf numFmtId="0" fontId="6" fillId="0" borderId="15" xfId="6" applyFont="1" applyBorder="1" applyAlignment="1">
      <alignment horizontal="center" vertical="center" wrapText="1"/>
    </xf>
    <xf numFmtId="0" fontId="6" fillId="0" borderId="21" xfId="6" applyFont="1" applyBorder="1" applyAlignment="1">
      <alignment horizontal="center" vertical="center" wrapText="1"/>
    </xf>
    <xf numFmtId="0" fontId="6" fillId="0" borderId="1" xfId="6" applyFont="1" applyBorder="1" applyAlignment="1">
      <alignment horizontal="center" vertical="center" wrapText="1"/>
    </xf>
    <xf numFmtId="0" fontId="6" fillId="0" borderId="22" xfId="6" applyFont="1" applyBorder="1" applyAlignment="1">
      <alignment horizontal="center" vertical="center" wrapText="1"/>
    </xf>
    <xf numFmtId="0" fontId="6" fillId="0" borderId="19" xfId="6" applyFont="1" applyBorder="1" applyAlignment="1">
      <alignment horizontal="center" vertical="center" wrapText="1"/>
    </xf>
    <xf numFmtId="0" fontId="6" fillId="0" borderId="23" xfId="6" applyFont="1" applyBorder="1" applyAlignment="1">
      <alignment horizontal="center" vertical="center" wrapText="1"/>
    </xf>
    <xf numFmtId="0" fontId="3" fillId="0" borderId="0" xfId="6" applyBorder="1" applyAlignment="1">
      <alignment horizontal="center" vertical="center"/>
    </xf>
    <xf numFmtId="10" fontId="4" fillId="2" borderId="1" xfId="5" applyNumberFormat="1" applyFont="1" applyFill="1" applyBorder="1" applyAlignment="1">
      <alignment horizontal="center" vertical="center"/>
    </xf>
    <xf numFmtId="10" fontId="4" fillId="2" borderId="19" xfId="5" applyNumberFormat="1" applyFont="1" applyFill="1" applyBorder="1" applyAlignment="1">
      <alignment horizontal="center" vertical="center"/>
    </xf>
    <xf numFmtId="164" fontId="4" fillId="2" borderId="19" xfId="6" applyNumberFormat="1" applyFont="1" applyFill="1" applyBorder="1" applyAlignment="1">
      <alignment horizontal="center" vertical="center"/>
    </xf>
    <xf numFmtId="10" fontId="6" fillId="0" borderId="8" xfId="5" applyNumberFormat="1" applyFont="1" applyBorder="1" applyAlignment="1">
      <alignment horizontal="center" vertical="center"/>
    </xf>
    <xf numFmtId="10" fontId="4" fillId="2" borderId="15" xfId="5" applyNumberFormat="1" applyFont="1" applyFill="1" applyBorder="1" applyAlignment="1">
      <alignment horizontal="center" vertical="center"/>
    </xf>
    <xf numFmtId="10" fontId="6" fillId="0" borderId="1" xfId="5" applyNumberFormat="1" applyFont="1" applyBorder="1" applyAlignment="1">
      <alignment horizontal="center" vertical="center"/>
    </xf>
    <xf numFmtId="10" fontId="6" fillId="0" borderId="19" xfId="5" applyNumberFormat="1" applyFont="1" applyBorder="1" applyAlignment="1">
      <alignment horizontal="center" vertical="center"/>
    </xf>
    <xf numFmtId="10" fontId="6" fillId="0" borderId="10" xfId="5" applyNumberFormat="1" applyFont="1" applyBorder="1" applyAlignment="1">
      <alignment horizontal="center" vertical="center"/>
    </xf>
    <xf numFmtId="0" fontId="6" fillId="0" borderId="10" xfId="6" applyFont="1" applyBorder="1" applyAlignment="1">
      <alignment horizontal="center" vertical="center" wrapText="1"/>
    </xf>
    <xf numFmtId="0" fontId="6" fillId="0" borderId="25" xfId="6" applyFont="1" applyBorder="1" applyAlignment="1">
      <alignment horizontal="center" vertical="center" wrapText="1"/>
    </xf>
    <xf numFmtId="0" fontId="6" fillId="0" borderId="8" xfId="6" applyFont="1" applyBorder="1" applyAlignment="1">
      <alignment horizontal="center" vertical="center" wrapText="1"/>
    </xf>
    <xf numFmtId="0" fontId="6" fillId="0" borderId="24" xfId="6" applyFont="1" applyBorder="1" applyAlignment="1">
      <alignment horizontal="center" vertical="center" wrapText="1"/>
    </xf>
    <xf numFmtId="0" fontId="5" fillId="0" borderId="15" xfId="6" applyFont="1" applyBorder="1" applyAlignment="1">
      <alignment horizontal="center" vertical="center"/>
    </xf>
    <xf numFmtId="0" fontId="5" fillId="0" borderId="21" xfId="6" applyFont="1" applyBorder="1" applyAlignment="1">
      <alignment horizontal="center" vertical="center"/>
    </xf>
    <xf numFmtId="0" fontId="5" fillId="0" borderId="1" xfId="6" applyFont="1" applyBorder="1" applyAlignment="1">
      <alignment horizontal="center" vertical="center"/>
    </xf>
    <xf numFmtId="0" fontId="5" fillId="0" borderId="22" xfId="6" applyFont="1" applyBorder="1" applyAlignment="1">
      <alignment horizontal="center" vertical="center"/>
    </xf>
    <xf numFmtId="0" fontId="6" fillId="0" borderId="19" xfId="6" applyFont="1" applyBorder="1" applyAlignment="1">
      <alignment horizontal="center" vertical="center"/>
    </xf>
    <xf numFmtId="0" fontId="6" fillId="0" borderId="23" xfId="6" applyFont="1" applyBorder="1" applyAlignment="1">
      <alignment horizontal="center" vertical="center"/>
    </xf>
    <xf numFmtId="10" fontId="16" fillId="0" borderId="19" xfId="5" applyNumberFormat="1" applyFont="1" applyFill="1" applyBorder="1" applyAlignment="1">
      <alignment horizontal="center" vertical="center"/>
    </xf>
    <xf numFmtId="10" fontId="6" fillId="0" borderId="15" xfId="5" applyNumberFormat="1" applyFont="1" applyBorder="1" applyAlignment="1">
      <alignment horizontal="center" vertical="center"/>
    </xf>
    <xf numFmtId="4" fontId="7" fillId="0" borderId="1" xfId="0" applyNumberFormat="1" applyFont="1" applyBorder="1" applyAlignment="1">
      <alignment horizontal="center" vertical="center"/>
    </xf>
    <xf numFmtId="4" fontId="7" fillId="0" borderId="19" xfId="0" applyNumberFormat="1" applyFont="1" applyBorder="1" applyAlignment="1">
      <alignment horizontal="center" vertical="center"/>
    </xf>
    <xf numFmtId="10" fontId="16" fillId="0" borderId="15" xfId="5" applyNumberFormat="1" applyFont="1" applyFill="1" applyBorder="1" applyAlignment="1">
      <alignment horizontal="center" vertical="center"/>
    </xf>
    <xf numFmtId="10" fontId="16" fillId="0" borderId="1" xfId="5" applyNumberFormat="1" applyFont="1" applyFill="1" applyBorder="1" applyAlignment="1">
      <alignment horizontal="center" vertical="center"/>
    </xf>
    <xf numFmtId="9" fontId="16" fillId="0" borderId="15" xfId="5" applyFont="1" applyBorder="1" applyAlignment="1">
      <alignment horizontal="center" vertical="center"/>
    </xf>
    <xf numFmtId="9" fontId="16" fillId="0" borderId="1" xfId="5" applyFont="1" applyBorder="1" applyAlignment="1">
      <alignment horizontal="center" vertical="center"/>
    </xf>
    <xf numFmtId="9" fontId="16" fillId="0" borderId="19" xfId="5" applyFont="1" applyBorder="1" applyAlignment="1">
      <alignment horizontal="center" vertical="center"/>
    </xf>
    <xf numFmtId="0" fontId="0" fillId="0" borderId="1" xfId="0" applyBorder="1" applyAlignment="1">
      <alignment horizontal="center" vertical="center"/>
    </xf>
    <xf numFmtId="0" fontId="0" fillId="0" borderId="8" xfId="0" applyBorder="1" applyAlignment="1">
      <alignment horizontal="center" vertical="center"/>
    </xf>
    <xf numFmtId="0" fontId="0" fillId="0" borderId="16" xfId="0" applyFont="1" applyBorder="1" applyAlignment="1">
      <alignment horizontal="left" vertical="center" indent="3"/>
    </xf>
    <xf numFmtId="0" fontId="0" fillId="0" borderId="1" xfId="0" applyFont="1" applyBorder="1" applyAlignment="1">
      <alignment horizontal="left" vertical="center" indent="3"/>
    </xf>
    <xf numFmtId="0" fontId="5" fillId="0" borderId="16" xfId="0" applyFont="1" applyBorder="1" applyAlignment="1">
      <alignment horizontal="left" vertical="center" indent="1"/>
    </xf>
    <xf numFmtId="0" fontId="5" fillId="0" borderId="1" xfId="0" applyFont="1" applyBorder="1" applyAlignment="1">
      <alignment horizontal="left" vertical="center" indent="1"/>
    </xf>
    <xf numFmtId="0" fontId="6" fillId="0" borderId="16" xfId="0" applyFont="1" applyBorder="1" applyAlignment="1">
      <alignment horizontal="left" vertical="center" wrapText="1" indent="2"/>
    </xf>
    <xf numFmtId="0" fontId="6" fillId="0" borderId="1" xfId="0" applyFont="1" applyBorder="1" applyAlignment="1">
      <alignment horizontal="left" vertical="center" wrapText="1" indent="2"/>
    </xf>
    <xf numFmtId="0" fontId="6" fillId="0" borderId="16" xfId="0" applyFont="1" applyBorder="1" applyAlignment="1">
      <alignment horizontal="left" vertical="center" indent="2"/>
    </xf>
    <xf numFmtId="0" fontId="6" fillId="0" borderId="1" xfId="0" applyFont="1" applyBorder="1" applyAlignment="1">
      <alignment horizontal="left" vertical="center" indent="2"/>
    </xf>
    <xf numFmtId="0" fontId="0" fillId="0" borderId="26" xfId="0" applyFont="1" applyFill="1" applyBorder="1" applyAlignment="1">
      <alignment horizontal="left" vertical="center" indent="3"/>
    </xf>
    <xf numFmtId="0" fontId="0" fillId="0" borderId="8" xfId="0" applyFont="1" applyFill="1" applyBorder="1" applyAlignment="1">
      <alignment horizontal="left" vertical="center" indent="3"/>
    </xf>
    <xf numFmtId="0" fontId="18" fillId="10" borderId="27" xfId="0" applyFont="1" applyFill="1" applyBorder="1" applyAlignment="1">
      <alignment horizontal="left" vertical="center"/>
    </xf>
    <xf numFmtId="0" fontId="18" fillId="10" borderId="10" xfId="0" applyFont="1" applyFill="1" applyBorder="1" applyAlignment="1">
      <alignment horizontal="left" vertical="center"/>
    </xf>
    <xf numFmtId="0" fontId="8" fillId="9" borderId="16" xfId="0" applyFont="1" applyFill="1" applyBorder="1" applyAlignment="1">
      <alignment horizontal="left" vertical="center" wrapText="1"/>
    </xf>
    <xf numFmtId="0" fontId="8" fillId="9" borderId="1" xfId="0" applyFont="1" applyFill="1" applyBorder="1" applyAlignment="1">
      <alignment horizontal="left" vertical="center" wrapText="1"/>
    </xf>
    <xf numFmtId="0" fontId="4" fillId="2" borderId="36" xfId="6" applyFont="1" applyFill="1" applyBorder="1" applyAlignment="1">
      <alignment horizontal="center" vertical="center"/>
    </xf>
    <xf numFmtId="0" fontId="4" fillId="2" borderId="37" xfId="6" applyFont="1" applyFill="1" applyBorder="1" applyAlignment="1">
      <alignment horizontal="center" vertical="center"/>
    </xf>
    <xf numFmtId="0" fontId="8" fillId="15" borderId="18" xfId="0" applyFont="1" applyFill="1" applyBorder="1" applyAlignment="1">
      <alignment horizontal="left" vertical="center" wrapText="1"/>
    </xf>
    <xf numFmtId="0" fontId="8" fillId="15" borderId="19" xfId="0" applyFont="1" applyFill="1" applyBorder="1" applyAlignment="1">
      <alignment horizontal="left" vertical="center" wrapText="1"/>
    </xf>
    <xf numFmtId="0" fontId="2" fillId="0" borderId="14" xfId="6" applyFont="1" applyBorder="1" applyAlignment="1">
      <alignment horizontal="center" vertical="center" wrapText="1"/>
    </xf>
    <xf numFmtId="0" fontId="2" fillId="0" borderId="15" xfId="6" applyFont="1" applyBorder="1" applyAlignment="1">
      <alignment horizontal="center" vertical="center" wrapText="1"/>
    </xf>
    <xf numFmtId="0" fontId="18" fillId="12" borderId="16" xfId="0" applyFont="1" applyFill="1" applyBorder="1" applyAlignment="1">
      <alignment vertical="center"/>
    </xf>
    <xf numFmtId="0" fontId="18" fillId="12" borderId="1" xfId="0" applyFont="1" applyFill="1" applyBorder="1" applyAlignment="1">
      <alignment vertical="center"/>
    </xf>
    <xf numFmtId="0" fontId="18" fillId="13" borderId="16" xfId="0" applyFont="1" applyFill="1" applyBorder="1" applyAlignment="1">
      <alignment vertical="center"/>
    </xf>
    <xf numFmtId="0" fontId="18" fillId="13" borderId="1" xfId="0" applyFont="1" applyFill="1" applyBorder="1" applyAlignment="1">
      <alignment vertical="center"/>
    </xf>
    <xf numFmtId="0" fontId="18" fillId="14" borderId="18" xfId="0" applyFont="1" applyFill="1" applyBorder="1" applyAlignment="1">
      <alignment vertical="center"/>
    </xf>
    <xf numFmtId="0" fontId="18" fillId="14" borderId="19" xfId="0" applyFont="1" applyFill="1" applyBorder="1" applyAlignment="1">
      <alignment vertical="center"/>
    </xf>
    <xf numFmtId="0" fontId="18" fillId="11" borderId="16" xfId="0" applyFont="1" applyFill="1" applyBorder="1" applyAlignment="1">
      <alignment vertical="center"/>
    </xf>
    <xf numFmtId="0" fontId="18" fillId="11" borderId="1" xfId="0" applyFont="1" applyFill="1" applyBorder="1" applyAlignment="1">
      <alignment vertical="center"/>
    </xf>
    <xf numFmtId="0" fontId="4" fillId="2" borderId="3" xfId="6" applyFont="1" applyFill="1" applyBorder="1" applyAlignment="1">
      <alignment horizontal="left" vertical="center"/>
    </xf>
    <xf numFmtId="0" fontId="4" fillId="2" borderId="4" xfId="6" applyFont="1" applyFill="1" applyBorder="1" applyAlignment="1">
      <alignment horizontal="left" vertical="center"/>
    </xf>
    <xf numFmtId="0" fontId="4" fillId="2" borderId="5" xfId="6" applyFont="1" applyFill="1" applyBorder="1" applyAlignment="1">
      <alignment horizontal="left" vertical="center"/>
    </xf>
    <xf numFmtId="3" fontId="4" fillId="2" borderId="6" xfId="6" applyNumberFormat="1" applyFont="1" applyFill="1" applyBorder="1" applyAlignment="1">
      <alignment horizontal="center" vertical="center"/>
    </xf>
    <xf numFmtId="3" fontId="4" fillId="2" borderId="28" xfId="6" applyNumberFormat="1" applyFont="1" applyFill="1" applyBorder="1" applyAlignment="1">
      <alignment horizontal="center" vertical="center"/>
    </xf>
    <xf numFmtId="3" fontId="4" fillId="2" borderId="7" xfId="6" applyNumberFormat="1" applyFont="1" applyFill="1" applyBorder="1" applyAlignment="1">
      <alignment horizontal="center" vertical="center"/>
    </xf>
    <xf numFmtId="3" fontId="4" fillId="2" borderId="30" xfId="6" applyNumberFormat="1" applyFont="1" applyFill="1" applyBorder="1" applyAlignment="1">
      <alignment horizontal="center" vertical="center"/>
    </xf>
    <xf numFmtId="0" fontId="4" fillId="2" borderId="14" xfId="0" applyFont="1" applyFill="1" applyBorder="1" applyAlignment="1">
      <alignment horizontal="left" vertical="center"/>
    </xf>
    <xf numFmtId="0" fontId="4" fillId="2" borderId="15" xfId="0" applyFont="1" applyFill="1" applyBorder="1" applyAlignment="1">
      <alignment horizontal="left" vertical="center"/>
    </xf>
    <xf numFmtId="0" fontId="0" fillId="0" borderId="16" xfId="0" applyFont="1" applyFill="1" applyBorder="1" applyAlignment="1">
      <alignment horizontal="left" vertical="center" indent="3"/>
    </xf>
    <xf numFmtId="0" fontId="0" fillId="0" borderId="1" xfId="0" applyFont="1" applyFill="1" applyBorder="1" applyAlignment="1">
      <alignment horizontal="left" vertical="center" indent="3"/>
    </xf>
    <xf numFmtId="0" fontId="5" fillId="0" borderId="16" xfId="6" applyFont="1" applyBorder="1" applyAlignment="1">
      <alignment horizontal="center" vertical="center" wrapText="1"/>
    </xf>
    <xf numFmtId="0" fontId="5" fillId="0" borderId="1" xfId="6" applyFont="1" applyBorder="1" applyAlignment="1">
      <alignment horizontal="center" vertical="center" wrapText="1"/>
    </xf>
    <xf numFmtId="0" fontId="18" fillId="9" borderId="16" xfId="0" applyFont="1" applyFill="1" applyBorder="1" applyAlignment="1">
      <alignment horizontal="left" vertical="center" wrapText="1"/>
    </xf>
    <xf numFmtId="0" fontId="18" fillId="9" borderId="1" xfId="0" applyFont="1" applyFill="1" applyBorder="1" applyAlignment="1">
      <alignment horizontal="left" vertical="center" wrapText="1"/>
    </xf>
    <xf numFmtId="0" fontId="18" fillId="4" borderId="16" xfId="0" applyFont="1" applyFill="1" applyBorder="1" applyAlignment="1">
      <alignment vertical="center"/>
    </xf>
    <xf numFmtId="0" fontId="18" fillId="4" borderId="1" xfId="0" applyFont="1" applyFill="1" applyBorder="1" applyAlignment="1">
      <alignment vertical="center"/>
    </xf>
    <xf numFmtId="0" fontId="18" fillId="5" borderId="16" xfId="0" applyFont="1" applyFill="1" applyBorder="1" applyAlignment="1">
      <alignment vertical="center"/>
    </xf>
    <xf numFmtId="0" fontId="18" fillId="5" borderId="1" xfId="0" applyFont="1" applyFill="1" applyBorder="1" applyAlignment="1">
      <alignment vertical="center"/>
    </xf>
    <xf numFmtId="0" fontId="18" fillId="6" borderId="16" xfId="0" applyFont="1" applyFill="1" applyBorder="1" applyAlignment="1">
      <alignment vertical="center"/>
    </xf>
    <xf numFmtId="0" fontId="18" fillId="6" borderId="1" xfId="0" applyFont="1" applyFill="1" applyBorder="1" applyAlignment="1">
      <alignment vertical="center"/>
    </xf>
    <xf numFmtId="0" fontId="4" fillId="2" borderId="18" xfId="0" applyFont="1" applyFill="1" applyBorder="1" applyAlignment="1">
      <alignment horizontal="left" vertical="center"/>
    </xf>
    <xf numFmtId="0" fontId="4" fillId="2" borderId="19" xfId="0" applyFont="1" applyFill="1" applyBorder="1" applyAlignment="1">
      <alignment horizontal="left" vertical="center"/>
    </xf>
    <xf numFmtId="0" fontId="5" fillId="0" borderId="16" xfId="0" applyFont="1" applyBorder="1" applyAlignment="1">
      <alignment horizontal="left" vertical="center"/>
    </xf>
    <xf numFmtId="0" fontId="5" fillId="0" borderId="1"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0" fillId="0" borderId="18" xfId="0" applyFont="1" applyFill="1" applyBorder="1" applyAlignment="1">
      <alignment horizontal="left" vertical="center" indent="3"/>
    </xf>
    <xf numFmtId="0" fontId="0" fillId="0" borderId="19" xfId="0" applyFont="1" applyFill="1" applyBorder="1" applyAlignment="1">
      <alignment horizontal="left" vertical="center" indent="3"/>
    </xf>
    <xf numFmtId="3" fontId="4" fillId="2" borderId="34" xfId="0" applyNumberFormat="1" applyFont="1" applyFill="1" applyBorder="1" applyAlignment="1">
      <alignment horizontal="center" vertical="center"/>
    </xf>
    <xf numFmtId="3" fontId="4" fillId="2" borderId="35" xfId="0" applyNumberFormat="1" applyFont="1" applyFill="1" applyBorder="1" applyAlignment="1">
      <alignment horizontal="center" vertical="center"/>
    </xf>
    <xf numFmtId="3" fontId="4" fillId="2" borderId="0" xfId="0" applyNumberFormat="1" applyFont="1" applyFill="1" applyBorder="1" applyAlignment="1">
      <alignment horizontal="center" vertical="center"/>
    </xf>
    <xf numFmtId="3" fontId="4" fillId="2" borderId="29" xfId="0" applyNumberFormat="1" applyFont="1" applyFill="1" applyBorder="1" applyAlignment="1">
      <alignment horizontal="center" vertical="center"/>
    </xf>
    <xf numFmtId="0" fontId="4" fillId="2" borderId="14" xfId="6" applyFont="1" applyFill="1" applyBorder="1" applyAlignment="1">
      <alignment horizontal="left" vertical="center"/>
    </xf>
    <xf numFmtId="0" fontId="4" fillId="2" borderId="15" xfId="6" applyFont="1" applyFill="1" applyBorder="1" applyAlignment="1">
      <alignment horizontal="left" vertical="center"/>
    </xf>
    <xf numFmtId="0" fontId="4" fillId="2" borderId="21" xfId="6" applyFont="1" applyFill="1" applyBorder="1" applyAlignment="1">
      <alignment horizontal="left" vertical="center"/>
    </xf>
    <xf numFmtId="0" fontId="5" fillId="0" borderId="22" xfId="6" applyFont="1" applyBorder="1" applyAlignment="1">
      <alignment horizontal="center" vertical="center" wrapText="1"/>
    </xf>
    <xf numFmtId="0" fontId="6" fillId="0" borderId="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3" xfId="0" applyFont="1" applyBorder="1" applyAlignment="1">
      <alignment horizontal="center" vertical="center" wrapText="1"/>
    </xf>
    <xf numFmtId="0" fontId="3" fillId="0" borderId="15" xfId="0" applyFont="1" applyBorder="1" applyAlignment="1">
      <alignment horizontal="center" vertical="center"/>
    </xf>
    <xf numFmtId="0" fontId="3" fillId="0" borderId="21" xfId="0" applyFont="1" applyBorder="1" applyAlignment="1">
      <alignment horizontal="center" vertical="center"/>
    </xf>
    <xf numFmtId="0" fontId="3" fillId="0" borderId="1" xfId="0" applyFont="1" applyBorder="1" applyAlignment="1">
      <alignment horizontal="center" vertical="center"/>
    </xf>
    <xf numFmtId="0" fontId="3" fillId="0" borderId="22" xfId="0" applyFont="1" applyBorder="1" applyAlignment="1">
      <alignment horizontal="center" vertical="center"/>
    </xf>
    <xf numFmtId="0" fontId="3" fillId="0" borderId="19" xfId="0" applyFont="1" applyBorder="1" applyAlignment="1">
      <alignment horizontal="center" vertical="center"/>
    </xf>
    <xf numFmtId="0" fontId="3" fillId="0" borderId="23" xfId="0" applyFont="1" applyBorder="1" applyAlignment="1">
      <alignment horizontal="center" vertical="center"/>
    </xf>
    <xf numFmtId="0" fontId="5" fillId="0" borderId="24" xfId="6" applyFont="1" applyBorder="1" applyAlignment="1">
      <alignment horizontal="center" vertical="center" wrapText="1"/>
    </xf>
    <xf numFmtId="0" fontId="18" fillId="14" borderId="18" xfId="0" applyFont="1" applyFill="1" applyBorder="1" applyAlignment="1">
      <alignment vertical="center" wrapText="1"/>
    </xf>
    <xf numFmtId="0" fontId="18" fillId="14" borderId="19" xfId="0" applyFont="1" applyFill="1" applyBorder="1" applyAlignment="1">
      <alignment vertical="center" wrapText="1"/>
    </xf>
    <xf numFmtId="0" fontId="4" fillId="2" borderId="31" xfId="6" applyFont="1" applyFill="1" applyBorder="1" applyAlignment="1">
      <alignment horizontal="left" vertical="center"/>
    </xf>
    <xf numFmtId="0" fontId="18" fillId="15" borderId="26" xfId="0" applyFont="1" applyFill="1" applyBorder="1" applyAlignment="1">
      <alignment horizontal="left" vertical="center" wrapText="1"/>
    </xf>
    <xf numFmtId="0" fontId="18" fillId="15" borderId="8" xfId="0" applyFont="1" applyFill="1" applyBorder="1" applyAlignment="1">
      <alignment horizontal="left" vertical="center" wrapText="1"/>
    </xf>
    <xf numFmtId="44" fontId="6" fillId="0" borderId="24" xfId="3" applyFont="1" applyBorder="1" applyAlignment="1">
      <alignment horizontal="center" vertical="center"/>
    </xf>
    <xf numFmtId="44" fontId="6" fillId="0" borderId="17" xfId="3" applyFont="1" applyBorder="1" applyAlignment="1">
      <alignment horizontal="center" vertical="center"/>
    </xf>
    <xf numFmtId="44" fontId="6" fillId="0" borderId="25" xfId="3" applyFont="1" applyBorder="1" applyAlignment="1">
      <alignment horizontal="center" vertical="center"/>
    </xf>
    <xf numFmtId="0" fontId="22" fillId="2" borderId="24" xfId="0" applyFont="1" applyFill="1" applyBorder="1" applyAlignment="1">
      <alignment horizontal="center" vertical="center" wrapText="1"/>
    </xf>
    <xf numFmtId="0" fontId="22" fillId="2" borderId="17" xfId="0" applyFont="1" applyFill="1" applyBorder="1" applyAlignment="1">
      <alignment horizontal="center" vertical="center" wrapText="1"/>
    </xf>
    <xf numFmtId="0" fontId="22" fillId="2" borderId="25" xfId="0" applyFont="1" applyFill="1" applyBorder="1" applyAlignment="1">
      <alignment horizontal="center" vertical="center" wrapText="1"/>
    </xf>
    <xf numFmtId="0" fontId="4" fillId="2" borderId="44" xfId="6" applyFont="1" applyFill="1" applyBorder="1" applyAlignment="1">
      <alignment horizontal="left" vertical="center"/>
    </xf>
    <xf numFmtId="0" fontId="4" fillId="2" borderId="45" xfId="6" applyFont="1" applyFill="1" applyBorder="1" applyAlignment="1">
      <alignment horizontal="left" vertical="center"/>
    </xf>
    <xf numFmtId="0" fontId="4" fillId="2" borderId="46" xfId="6" applyFont="1" applyFill="1" applyBorder="1" applyAlignment="1">
      <alignment horizontal="left" vertical="center"/>
    </xf>
    <xf numFmtId="0" fontId="22" fillId="2" borderId="28" xfId="0" applyFont="1" applyFill="1" applyBorder="1" applyAlignment="1">
      <alignment horizontal="center" vertical="center"/>
    </xf>
    <xf numFmtId="0" fontId="22" fillId="2" borderId="50" xfId="0" applyFont="1" applyFill="1" applyBorder="1" applyAlignment="1">
      <alignment horizontal="center" vertical="center"/>
    </xf>
    <xf numFmtId="9" fontId="25" fillId="2" borderId="8" xfId="0" applyNumberFormat="1" applyFont="1" applyFill="1" applyBorder="1" applyAlignment="1">
      <alignment horizontal="center" vertical="center"/>
    </xf>
    <xf numFmtId="9" fontId="25" fillId="2" borderId="10" xfId="0" applyNumberFormat="1" applyFont="1" applyFill="1" applyBorder="1" applyAlignment="1">
      <alignment horizontal="center" vertical="center"/>
    </xf>
    <xf numFmtId="168" fontId="21" fillId="2" borderId="8" xfId="5" applyNumberFormat="1" applyFont="1" applyFill="1" applyBorder="1" applyAlignment="1">
      <alignment horizontal="center" vertical="center"/>
    </xf>
    <xf numFmtId="168" fontId="21" fillId="2" borderId="48" xfId="5" applyNumberFormat="1" applyFont="1" applyFill="1" applyBorder="1" applyAlignment="1">
      <alignment horizontal="center" vertical="center"/>
    </xf>
    <xf numFmtId="0" fontId="2" fillId="0" borderId="2" xfId="0" applyFont="1" applyBorder="1" applyAlignment="1">
      <alignment horizontal="left" vertical="center" wrapText="1"/>
    </xf>
    <xf numFmtId="0" fontId="2" fillId="0" borderId="9" xfId="0" applyFont="1" applyBorder="1" applyAlignment="1">
      <alignment horizontal="left" vertical="center" wrapText="1"/>
    </xf>
    <xf numFmtId="0" fontId="3" fillId="0" borderId="1" xfId="6" applyBorder="1" applyAlignment="1">
      <alignment horizontal="left" vertical="center"/>
    </xf>
    <xf numFmtId="0" fontId="2" fillId="0" borderId="2" xfId="0" applyFont="1" applyBorder="1" applyAlignment="1">
      <alignment horizontal="center" vertical="center"/>
    </xf>
    <xf numFmtId="0" fontId="2" fillId="0" borderId="9" xfId="0" applyFont="1" applyBorder="1" applyAlignment="1">
      <alignment horizontal="center" vertical="center"/>
    </xf>
    <xf numFmtId="174" fontId="0" fillId="0" borderId="8" xfId="0" applyNumberFormat="1" applyBorder="1" applyAlignment="1">
      <alignment horizontal="center" vertical="center"/>
    </xf>
    <xf numFmtId="174" fontId="0" fillId="0" borderId="11" xfId="0" applyNumberFormat="1" applyBorder="1" applyAlignment="1">
      <alignment horizontal="center" vertical="center"/>
    </xf>
    <xf numFmtId="174" fontId="0" fillId="0" borderId="10" xfId="0" applyNumberFormat="1" applyBorder="1" applyAlignment="1">
      <alignment horizontal="center" vertical="center"/>
    </xf>
    <xf numFmtId="0" fontId="21" fillId="2" borderId="22" xfId="0" applyFont="1" applyFill="1" applyBorder="1" applyAlignment="1">
      <alignment horizontal="center" vertical="center" wrapText="1"/>
    </xf>
    <xf numFmtId="164" fontId="0" fillId="0" borderId="8" xfId="0" applyNumberFormat="1" applyFill="1" applyBorder="1" applyAlignment="1">
      <alignment horizontal="right" vertical="center"/>
    </xf>
    <xf numFmtId="164" fontId="0" fillId="0" borderId="11" xfId="0" applyNumberFormat="1" applyFill="1" applyBorder="1" applyAlignment="1">
      <alignment horizontal="right" vertical="center"/>
    </xf>
    <xf numFmtId="164" fontId="0" fillId="0" borderId="10" xfId="0" applyNumberFormat="1" applyFill="1" applyBorder="1" applyAlignment="1">
      <alignment horizontal="right" vertical="center"/>
    </xf>
    <xf numFmtId="0" fontId="6" fillId="0" borderId="16" xfId="0" applyFont="1" applyBorder="1" applyAlignment="1">
      <alignment horizontal="left" vertical="center"/>
    </xf>
    <xf numFmtId="0" fontId="6" fillId="0" borderId="1" xfId="0" applyFont="1" applyBorder="1" applyAlignment="1">
      <alignment horizontal="left" vertical="center"/>
    </xf>
    <xf numFmtId="168" fontId="6" fillId="0" borderId="1" xfId="3" applyNumberFormat="1" applyFont="1" applyBorder="1" applyAlignment="1">
      <alignment horizontal="right" vertical="center"/>
    </xf>
    <xf numFmtId="0" fontId="22" fillId="2" borderId="16" xfId="0" applyFont="1" applyFill="1" applyBorder="1" applyAlignment="1">
      <alignment horizontal="left" vertical="center"/>
    </xf>
    <xf numFmtId="0" fontId="22" fillId="2" borderId="1" xfId="0" applyFont="1" applyFill="1" applyBorder="1" applyAlignment="1">
      <alignment horizontal="left" vertical="center"/>
    </xf>
    <xf numFmtId="168" fontId="22" fillId="2" borderId="1" xfId="3" applyNumberFormat="1" applyFont="1" applyFill="1" applyBorder="1" applyAlignment="1">
      <alignment horizontal="right"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8" fontId="6" fillId="0" borderId="19" xfId="5" applyNumberFormat="1" applyFont="1" applyBorder="1" applyAlignment="1">
      <alignment horizontal="right" vertical="center"/>
    </xf>
    <xf numFmtId="9" fontId="6" fillId="0" borderId="19" xfId="5" applyFont="1" applyBorder="1" applyAlignment="1">
      <alignment horizontal="right" vertical="center"/>
    </xf>
    <xf numFmtId="168" fontId="7" fillId="0" borderId="1" xfId="3" applyNumberFormat="1" applyFont="1" applyBorder="1" applyAlignment="1">
      <alignment horizontal="right" vertical="center"/>
    </xf>
    <xf numFmtId="10" fontId="6" fillId="0" borderId="1" xfId="5" applyNumberFormat="1" applyFont="1" applyBorder="1" applyAlignment="1">
      <alignment horizontal="right" vertical="center"/>
    </xf>
    <xf numFmtId="0" fontId="6" fillId="0" borderId="51" xfId="0" applyFont="1" applyBorder="1" applyAlignment="1">
      <alignment horizontal="left" vertical="center"/>
    </xf>
    <xf numFmtId="0" fontId="6" fillId="0" borderId="9" xfId="0" applyFont="1" applyBorder="1" applyAlignment="1">
      <alignment horizontal="left" vertical="center"/>
    </xf>
    <xf numFmtId="0" fontId="4" fillId="2" borderId="49" xfId="6" applyFont="1" applyFill="1" applyBorder="1" applyAlignment="1">
      <alignment horizontal="left" vertical="center"/>
    </xf>
    <xf numFmtId="0" fontId="4" fillId="2" borderId="13" xfId="6" applyFont="1" applyFill="1" applyBorder="1" applyAlignment="1">
      <alignment horizontal="left" vertical="center"/>
    </xf>
    <xf numFmtId="9" fontId="25" fillId="2" borderId="11" xfId="0" applyNumberFormat="1" applyFont="1" applyFill="1" applyBorder="1" applyAlignment="1">
      <alignment horizontal="center" vertical="center"/>
    </xf>
    <xf numFmtId="10" fontId="21" fillId="2" borderId="24" xfId="5" applyNumberFormat="1" applyFont="1" applyFill="1" applyBorder="1" applyAlignment="1">
      <alignment horizontal="center" vertical="center"/>
    </xf>
    <xf numFmtId="10" fontId="21" fillId="2" borderId="20" xfId="5" applyNumberFormat="1" applyFont="1" applyFill="1" applyBorder="1" applyAlignment="1">
      <alignment horizontal="center" vertical="center"/>
    </xf>
    <xf numFmtId="10" fontId="0" fillId="0" borderId="24" xfId="5" applyNumberFormat="1" applyFont="1" applyBorder="1" applyAlignment="1">
      <alignment horizontal="center" vertical="center"/>
    </xf>
    <xf numFmtId="10" fontId="0" fillId="0" borderId="17" xfId="5" applyNumberFormat="1" applyFont="1" applyBorder="1" applyAlignment="1">
      <alignment horizontal="center" vertical="center"/>
    </xf>
    <xf numFmtId="10" fontId="0" fillId="0" borderId="25" xfId="5" applyNumberFormat="1" applyFont="1" applyBorder="1" applyAlignment="1">
      <alignment horizontal="center" vertical="center"/>
    </xf>
    <xf numFmtId="49" fontId="0" fillId="0" borderId="1" xfId="0" applyNumberFormat="1" applyBorder="1" applyAlignment="1">
      <alignment horizontal="center" vertical="center"/>
    </xf>
    <xf numFmtId="10" fontId="0" fillId="0" borderId="8" xfId="5" applyNumberFormat="1" applyFont="1" applyFill="1" applyBorder="1" applyAlignment="1">
      <alignment horizontal="center" vertical="center"/>
    </xf>
    <xf numFmtId="10" fontId="0" fillId="0" borderId="11" xfId="5" applyNumberFormat="1" applyFont="1" applyFill="1" applyBorder="1" applyAlignment="1">
      <alignment horizontal="center" vertical="center"/>
    </xf>
    <xf numFmtId="10" fontId="0" fillId="0" borderId="10" xfId="5" applyNumberFormat="1" applyFont="1" applyFill="1" applyBorder="1" applyAlignment="1">
      <alignment horizontal="center" vertical="center"/>
    </xf>
    <xf numFmtId="0" fontId="4" fillId="2" borderId="0" xfId="6" applyFont="1" applyFill="1" applyAlignment="1">
      <alignment horizontal="left" vertical="center"/>
    </xf>
    <xf numFmtId="0" fontId="21" fillId="2"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2" borderId="1" xfId="0" applyFont="1" applyFill="1" applyBorder="1" applyAlignment="1">
      <alignment horizontal="center" vertical="center" wrapText="1"/>
    </xf>
    <xf numFmtId="0" fontId="15" fillId="13" borderId="1"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0" fontId="15" fillId="14" borderId="1" xfId="0" applyFont="1" applyFill="1" applyBorder="1" applyAlignment="1">
      <alignment horizontal="center" vertical="center" wrapText="1"/>
    </xf>
    <xf numFmtId="9" fontId="25" fillId="2" borderId="8" xfId="0" applyNumberFormat="1" applyFont="1" applyFill="1" applyBorder="1" applyAlignment="1">
      <alignment horizontal="center" vertical="center" wrapText="1"/>
    </xf>
    <xf numFmtId="9" fontId="25" fillId="2" borderId="10" xfId="0" applyNumberFormat="1" applyFont="1" applyFill="1" applyBorder="1" applyAlignment="1">
      <alignment horizontal="center" vertical="center" wrapText="1"/>
    </xf>
    <xf numFmtId="168" fontId="21" fillId="2" borderId="1" xfId="4" applyNumberFormat="1" applyFont="1" applyFill="1" applyBorder="1" applyAlignment="1">
      <alignment horizontal="center" vertical="center"/>
    </xf>
    <xf numFmtId="168" fontId="21" fillId="2" borderId="19" xfId="4" applyNumberFormat="1" applyFont="1" applyFill="1" applyBorder="1" applyAlignment="1">
      <alignment horizontal="center" vertical="center"/>
    </xf>
    <xf numFmtId="10" fontId="21" fillId="2" borderId="22" xfId="0" applyNumberFormat="1" applyFont="1" applyFill="1" applyBorder="1" applyAlignment="1">
      <alignment horizontal="center" vertical="center"/>
    </xf>
    <xf numFmtId="10" fontId="21" fillId="2" borderId="23" xfId="0" applyNumberFormat="1" applyFont="1" applyFill="1" applyBorder="1" applyAlignment="1">
      <alignment horizontal="center" vertical="center"/>
    </xf>
    <xf numFmtId="0" fontId="15" fillId="15" borderId="1" xfId="0" applyFont="1" applyFill="1" applyBorder="1" applyAlignment="1">
      <alignment horizontal="center" vertical="center" wrapText="1"/>
    </xf>
    <xf numFmtId="10" fontId="21" fillId="2" borderId="22" xfId="5" applyNumberFormat="1" applyFont="1" applyFill="1" applyBorder="1" applyAlignment="1">
      <alignment horizontal="center" vertical="center"/>
    </xf>
    <xf numFmtId="10" fontId="21" fillId="2" borderId="23" xfId="5" applyNumberFormat="1" applyFont="1" applyFill="1" applyBorder="1" applyAlignment="1">
      <alignment horizontal="center" vertical="center"/>
    </xf>
    <xf numFmtId="49" fontId="0" fillId="19" borderId="1" xfId="0" applyNumberFormat="1" applyFill="1" applyBorder="1" applyAlignment="1">
      <alignment horizontal="left" vertical="center" indent="1"/>
    </xf>
    <xf numFmtId="49" fontId="0" fillId="0" borderId="1" xfId="0" applyNumberFormat="1" applyBorder="1" applyAlignment="1">
      <alignment horizontal="left" vertical="center" indent="1"/>
    </xf>
    <xf numFmtId="0" fontId="0" fillId="0" borderId="1" xfId="0" applyBorder="1" applyAlignment="1">
      <alignment horizontal="center"/>
    </xf>
    <xf numFmtId="0" fontId="15" fillId="16" borderId="8" xfId="0" applyFont="1" applyFill="1" applyBorder="1" applyAlignment="1">
      <alignment horizontal="center" vertical="center" wrapText="1"/>
    </xf>
    <xf numFmtId="0" fontId="15" fillId="16" borderId="10"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15" fillId="9" borderId="10" xfId="0" applyFont="1" applyFill="1" applyBorder="1" applyAlignment="1">
      <alignment horizontal="center" vertical="center" wrapText="1"/>
    </xf>
    <xf numFmtId="0" fontId="15" fillId="15" borderId="8" xfId="0" applyFont="1" applyFill="1" applyBorder="1" applyAlignment="1">
      <alignment horizontal="center" vertical="center" wrapText="1"/>
    </xf>
    <xf numFmtId="0" fontId="15" fillId="15" borderId="10" xfId="0" applyFont="1" applyFill="1" applyBorder="1" applyAlignment="1">
      <alignment horizontal="center" vertical="center" wrapText="1"/>
    </xf>
    <xf numFmtId="49" fontId="0" fillId="0" borderId="1" xfId="0" applyNumberFormat="1" applyBorder="1" applyAlignment="1">
      <alignment horizontal="left" vertical="center" wrapText="1" indent="1"/>
    </xf>
    <xf numFmtId="0" fontId="6" fillId="0" borderId="1" xfId="0" applyFont="1" applyBorder="1" applyAlignment="1">
      <alignment horizontal="left"/>
    </xf>
    <xf numFmtId="0" fontId="0" fillId="0" borderId="2" xfId="0" applyBorder="1" applyAlignment="1">
      <alignment horizontal="center"/>
    </xf>
    <xf numFmtId="0" fontId="0" fillId="0" borderId="53" xfId="0" applyBorder="1" applyAlignment="1">
      <alignment horizontal="center"/>
    </xf>
    <xf numFmtId="0" fontId="0" fillId="0" borderId="9" xfId="0" applyBorder="1" applyAlignment="1">
      <alignment horizont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54" xfId="0" applyFont="1" applyBorder="1" applyAlignment="1">
      <alignment horizontal="center"/>
    </xf>
    <xf numFmtId="0" fontId="2" fillId="0" borderId="52" xfId="0" applyFont="1" applyBorder="1" applyAlignment="1">
      <alignment horizontal="center"/>
    </xf>
    <xf numFmtId="0" fontId="21" fillId="2" borderId="8" xfId="0" applyFont="1" applyFill="1" applyBorder="1" applyAlignment="1">
      <alignment horizontal="center" vertical="center" wrapText="1"/>
    </xf>
    <xf numFmtId="0" fontId="21" fillId="2" borderId="10" xfId="0" applyFont="1" applyFill="1" applyBorder="1" applyAlignment="1">
      <alignment horizontal="center" vertical="center" wrapText="1"/>
    </xf>
    <xf numFmtId="0" fontId="15" fillId="11" borderId="8" xfId="0" applyFont="1" applyFill="1" applyBorder="1" applyAlignment="1">
      <alignment horizontal="center" vertical="center" wrapText="1"/>
    </xf>
    <xf numFmtId="0" fontId="15" fillId="11" borderId="10" xfId="0" applyFont="1" applyFill="1" applyBorder="1" applyAlignment="1">
      <alignment horizontal="center" vertical="center" wrapText="1"/>
    </xf>
    <xf numFmtId="0" fontId="15" fillId="12" borderId="8" xfId="0" applyFont="1" applyFill="1" applyBorder="1" applyAlignment="1">
      <alignment horizontal="center" vertical="center" wrapText="1"/>
    </xf>
    <xf numFmtId="0" fontId="15" fillId="12" borderId="10" xfId="0" applyFont="1" applyFill="1" applyBorder="1" applyAlignment="1">
      <alignment horizontal="center" vertical="center" wrapText="1"/>
    </xf>
    <xf numFmtId="0" fontId="15" fillId="13" borderId="8" xfId="0" applyFont="1" applyFill="1" applyBorder="1" applyAlignment="1">
      <alignment horizontal="center" vertical="center" wrapText="1"/>
    </xf>
    <xf numFmtId="0" fontId="15" fillId="13" borderId="10"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5" fillId="14" borderId="8" xfId="0" applyFont="1" applyFill="1" applyBorder="1" applyAlignment="1">
      <alignment horizontal="center" vertical="center" wrapText="1"/>
    </xf>
    <xf numFmtId="0" fontId="15" fillId="14" borderId="10" xfId="0" applyFont="1" applyFill="1" applyBorder="1" applyAlignment="1">
      <alignment horizontal="center" vertical="center" wrapText="1"/>
    </xf>
    <xf numFmtId="49" fontId="0" fillId="0" borderId="2" xfId="0" applyNumberFormat="1" applyBorder="1" applyAlignment="1">
      <alignment horizontal="left" vertical="center" wrapText="1" indent="1"/>
    </xf>
    <xf numFmtId="49" fontId="0" fillId="0" borderId="53" xfId="0" applyNumberFormat="1" applyBorder="1" applyAlignment="1">
      <alignment horizontal="left" vertical="center" wrapText="1" indent="1"/>
    </xf>
    <xf numFmtId="49" fontId="0" fillId="0" borderId="9" xfId="0" applyNumberFormat="1" applyBorder="1" applyAlignment="1">
      <alignment horizontal="left" vertical="center" wrapText="1" indent="1"/>
    </xf>
    <xf numFmtId="168" fontId="23" fillId="20" borderId="1" xfId="0" applyNumberFormat="1" applyFont="1" applyFill="1" applyBorder="1" applyAlignment="1">
      <alignment horizontal="center"/>
    </xf>
    <xf numFmtId="168" fontId="23" fillId="20" borderId="1" xfId="0" applyNumberFormat="1" applyFont="1" applyFill="1" applyBorder="1" applyAlignment="1">
      <alignment horizontal="center" vertical="center"/>
    </xf>
    <xf numFmtId="168" fontId="0" fillId="18" borderId="1" xfId="0" applyNumberFormat="1" applyFill="1" applyBorder="1"/>
    <xf numFmtId="168" fontId="0" fillId="0" borderId="0" xfId="0" applyNumberFormat="1"/>
    <xf numFmtId="49" fontId="0" fillId="0" borderId="1" xfId="0" applyNumberFormat="1" applyFill="1" applyBorder="1" applyAlignment="1">
      <alignment horizontal="left" vertical="center" wrapText="1" indent="1"/>
    </xf>
    <xf numFmtId="41" fontId="0" fillId="0" borderId="1" xfId="0" applyNumberFormat="1" applyFill="1" applyBorder="1" applyAlignment="1">
      <alignment vertical="center"/>
    </xf>
    <xf numFmtId="0" fontId="21" fillId="2" borderId="2" xfId="0" applyFont="1" applyFill="1" applyBorder="1" applyAlignment="1">
      <alignment horizontal="center" vertical="center"/>
    </xf>
    <xf numFmtId="0" fontId="21" fillId="2" borderId="9" xfId="0" applyFont="1" applyFill="1" applyBorder="1" applyAlignment="1">
      <alignment horizontal="center" vertical="center"/>
    </xf>
    <xf numFmtId="41" fontId="21" fillId="2" borderId="1" xfId="0" applyNumberFormat="1" applyFont="1" applyFill="1" applyBorder="1" applyAlignment="1">
      <alignment vertical="center"/>
    </xf>
    <xf numFmtId="171" fontId="21" fillId="2" borderId="1" xfId="0" applyNumberFormat="1" applyFont="1" applyFill="1" applyBorder="1" applyAlignment="1">
      <alignment vertical="center"/>
    </xf>
    <xf numFmtId="168" fontId="21" fillId="2" borderId="0" xfId="0" applyNumberFormat="1" applyFont="1" applyFill="1"/>
    <xf numFmtId="0" fontId="0" fillId="0" borderId="0" xfId="0" applyAlignment="1">
      <alignment horizontal="center"/>
    </xf>
    <xf numFmtId="10" fontId="0" fillId="0" borderId="0" xfId="0" applyNumberFormat="1"/>
    <xf numFmtId="168" fontId="0" fillId="0" borderId="1" xfId="0" applyNumberFormat="1" applyBorder="1"/>
    <xf numFmtId="0" fontId="23" fillId="2" borderId="1" xfId="0" applyFont="1" applyFill="1" applyBorder="1" applyAlignment="1">
      <alignment horizontal="center"/>
    </xf>
    <xf numFmtId="0" fontId="23" fillId="2" borderId="1" xfId="0" applyFont="1" applyFill="1" applyBorder="1" applyAlignment="1">
      <alignment horizontal="center" wrapText="1"/>
    </xf>
    <xf numFmtId="3" fontId="23" fillId="2" borderId="1" xfId="0" applyNumberFormat="1" applyFont="1" applyFill="1" applyBorder="1" applyAlignment="1">
      <alignment horizontal="center" vertical="center"/>
    </xf>
    <xf numFmtId="8" fontId="23" fillId="2" borderId="1" xfId="0" applyNumberFormat="1" applyFont="1" applyFill="1" applyBorder="1" applyAlignment="1">
      <alignment horizontal="center" vertical="center"/>
    </xf>
    <xf numFmtId="9" fontId="23" fillId="2" borderId="1" xfId="0" applyNumberFormat="1" applyFont="1" applyFill="1" applyBorder="1" applyAlignment="1">
      <alignment horizontal="center" vertical="center"/>
    </xf>
    <xf numFmtId="8" fontId="23" fillId="2" borderId="1" xfId="0" applyNumberFormat="1" applyFont="1" applyFill="1" applyBorder="1"/>
    <xf numFmtId="0" fontId="23" fillId="2" borderId="1" xfId="0" applyFont="1" applyFill="1" applyBorder="1" applyAlignment="1">
      <alignment horizontal="center" vertical="center"/>
    </xf>
    <xf numFmtId="10" fontId="23" fillId="2" borderId="1" xfId="5" applyNumberFormat="1" applyFont="1" applyFill="1" applyBorder="1" applyAlignment="1">
      <alignment vertical="center"/>
    </xf>
  </cellXfs>
  <cellStyles count="8">
    <cellStyle name="Millares" xfId="1" builtinId="3"/>
    <cellStyle name="Millares [0]" xfId="2" builtinId="6"/>
    <cellStyle name="Moneda" xfId="3" builtinId="4"/>
    <cellStyle name="Moneda [0]" xfId="4" builtinId="7"/>
    <cellStyle name="Normal" xfId="0" builtinId="0"/>
    <cellStyle name="Normal 2" xfId="6" xr:uid="{71C62D21-5F4B-3241-A7BB-0B556BAB5EA7}"/>
    <cellStyle name="Normal 3" xfId="7" xr:uid="{A7375B81-3942-BE4C-89F6-13B923008B63}"/>
    <cellStyle name="Porcentaje" xfId="5" builtinId="5"/>
  </cellStyles>
  <dxfs count="0"/>
  <tableStyles count="0" defaultTableStyle="TableStyleMedium2" defaultPivotStyle="PivotStyleLight16"/>
  <colors>
    <mruColors>
      <color rgb="FFFFD0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scatterChart>
        <c:scatterStyle val="lineMarker"/>
        <c:varyColors val="0"/>
        <c:ser>
          <c:idx val="0"/>
          <c:order val="0"/>
          <c:tx>
            <c:strRef>
              <c:f>TIR!$J$4</c:f>
              <c:strCache>
                <c:ptCount val="1"/>
                <c:pt idx="0">
                  <c:v>VNA</c:v>
                </c:pt>
              </c:strCache>
            </c:strRef>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TIR!$I$5:$I$19</c:f>
              <c:numCache>
                <c:formatCode>0.00%</c:formatCode>
                <c:ptCount val="15"/>
                <c:pt idx="0">
                  <c:v>0.02</c:v>
                </c:pt>
                <c:pt idx="1">
                  <c:v>0.04</c:v>
                </c:pt>
                <c:pt idx="2">
                  <c:v>0.06</c:v>
                </c:pt>
                <c:pt idx="3">
                  <c:v>0.08</c:v>
                </c:pt>
                <c:pt idx="4">
                  <c:v>0.1</c:v>
                </c:pt>
                <c:pt idx="5">
                  <c:v>0.12</c:v>
                </c:pt>
                <c:pt idx="6">
                  <c:v>0.14000000000000001</c:v>
                </c:pt>
                <c:pt idx="7">
                  <c:v>0.16308951303137581</c:v>
                </c:pt>
                <c:pt idx="8">
                  <c:v>0.18</c:v>
                </c:pt>
                <c:pt idx="9">
                  <c:v>0.2</c:v>
                </c:pt>
                <c:pt idx="10">
                  <c:v>0.22</c:v>
                </c:pt>
                <c:pt idx="11">
                  <c:v>0.24</c:v>
                </c:pt>
                <c:pt idx="12">
                  <c:v>0.26</c:v>
                </c:pt>
                <c:pt idx="13">
                  <c:v>0.28000000000000003</c:v>
                </c:pt>
                <c:pt idx="14">
                  <c:v>0.3</c:v>
                </c:pt>
              </c:numCache>
            </c:numRef>
          </c:xVal>
          <c:yVal>
            <c:numRef>
              <c:f>TIR!$J$5:$J$19</c:f>
              <c:numCache>
                <c:formatCode>"$"#,##0</c:formatCode>
                <c:ptCount val="15"/>
                <c:pt idx="0">
                  <c:v>353963147286.14886</c:v>
                </c:pt>
                <c:pt idx="1">
                  <c:v>261798635263.48444</c:v>
                </c:pt>
                <c:pt idx="2">
                  <c:v>187801790050.26611</c:v>
                </c:pt>
                <c:pt idx="3">
                  <c:v>128152783063.60901</c:v>
                </c:pt>
                <c:pt idx="4">
                  <c:v>79887676294.345062</c:v>
                </c:pt>
                <c:pt idx="5">
                  <c:v>40695196575.057953</c:v>
                </c:pt>
                <c:pt idx="6">
                  <c:v>8764368486.0539398</c:v>
                </c:pt>
                <c:pt idx="7">
                  <c:v>-20916550100.000122</c:v>
                </c:pt>
                <c:pt idx="8">
                  <c:v>-38716093169.308319</c:v>
                </c:pt>
                <c:pt idx="9">
                  <c:v>-56287922918.14328</c:v>
                </c:pt>
                <c:pt idx="10">
                  <c:v>-70759540060.392441</c:v>
                </c:pt>
                <c:pt idx="11">
                  <c:v>-82702330555.98822</c:v>
                </c:pt>
                <c:pt idx="12">
                  <c:v>-92575515473.868073</c:v>
                </c:pt>
                <c:pt idx="13">
                  <c:v>-100749551715.42433</c:v>
                </c:pt>
                <c:pt idx="14">
                  <c:v>-107524370546.52788</c:v>
                </c:pt>
              </c:numCache>
            </c:numRef>
          </c:yVal>
          <c:smooth val="0"/>
          <c:extLst>
            <c:ext xmlns:c16="http://schemas.microsoft.com/office/drawing/2014/chart" uri="{C3380CC4-5D6E-409C-BE32-E72D297353CC}">
              <c16:uniqueId val="{00000000-3A7E-674A-A93E-B5DF9902F8C2}"/>
            </c:ext>
          </c:extLst>
        </c:ser>
        <c:dLbls>
          <c:showLegendKey val="0"/>
          <c:showVal val="0"/>
          <c:showCatName val="0"/>
          <c:showSerName val="0"/>
          <c:showPercent val="0"/>
          <c:showBubbleSize val="0"/>
        </c:dLbls>
        <c:axId val="821107120"/>
        <c:axId val="821108800"/>
      </c:scatterChart>
      <c:valAx>
        <c:axId val="82110712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21108800"/>
        <c:crosses val="autoZero"/>
        <c:crossBetween val="midCat"/>
      </c:valAx>
      <c:valAx>
        <c:axId val="821108800"/>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21107120"/>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529167</xdr:colOff>
      <xdr:row>2</xdr:row>
      <xdr:rowOff>58796</xdr:rowOff>
    </xdr:from>
    <xdr:to>
      <xdr:col>5</xdr:col>
      <xdr:colOff>905463</xdr:colOff>
      <xdr:row>11</xdr:row>
      <xdr:rowOff>258703</xdr:rowOff>
    </xdr:to>
    <xdr:sp macro="" textlink="">
      <xdr:nvSpPr>
        <xdr:cNvPr id="3" name="Flecha abajo 2">
          <a:extLst>
            <a:ext uri="{FF2B5EF4-FFF2-40B4-BE49-F238E27FC236}">
              <a16:creationId xmlns:a16="http://schemas.microsoft.com/office/drawing/2014/main" id="{A0DA6EEC-5539-F925-455A-321030F3E882}"/>
            </a:ext>
          </a:extLst>
        </xdr:cNvPr>
        <xdr:cNvSpPr/>
      </xdr:nvSpPr>
      <xdr:spPr>
        <a:xfrm>
          <a:off x="8960556" y="1175926"/>
          <a:ext cx="376296" cy="3198518"/>
        </a:xfrm>
        <a:prstGeom prst="down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ES_tradnl" sz="1100"/>
        </a:p>
      </xdr:txBody>
    </xdr:sp>
    <xdr:clientData/>
  </xdr:twoCellAnchor>
  <xdr:twoCellAnchor>
    <xdr:from>
      <xdr:col>6</xdr:col>
      <xdr:colOff>434623</xdr:colOff>
      <xdr:row>2</xdr:row>
      <xdr:rowOff>58326</xdr:rowOff>
    </xdr:from>
    <xdr:to>
      <xdr:col>6</xdr:col>
      <xdr:colOff>810919</xdr:colOff>
      <xdr:row>20</xdr:row>
      <xdr:rowOff>0</xdr:rowOff>
    </xdr:to>
    <xdr:sp macro="" textlink="">
      <xdr:nvSpPr>
        <xdr:cNvPr id="4" name="Flecha abajo 3">
          <a:extLst>
            <a:ext uri="{FF2B5EF4-FFF2-40B4-BE49-F238E27FC236}">
              <a16:creationId xmlns:a16="http://schemas.microsoft.com/office/drawing/2014/main" id="{65BA1097-EA45-7249-B69F-4363B008227D}"/>
            </a:ext>
          </a:extLst>
        </xdr:cNvPr>
        <xdr:cNvSpPr/>
      </xdr:nvSpPr>
      <xdr:spPr>
        <a:xfrm>
          <a:off x="10077216" y="1175456"/>
          <a:ext cx="376296" cy="5303896"/>
        </a:xfrm>
        <a:prstGeom prst="down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ES_tradnl"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98013</xdr:colOff>
      <xdr:row>4</xdr:row>
      <xdr:rowOff>3352</xdr:rowOff>
    </xdr:from>
    <xdr:to>
      <xdr:col>16</xdr:col>
      <xdr:colOff>526585</xdr:colOff>
      <xdr:row>18</xdr:row>
      <xdr:rowOff>165203</xdr:rowOff>
    </xdr:to>
    <xdr:graphicFrame macro="">
      <xdr:nvGraphicFramePr>
        <xdr:cNvPr id="2" name="Gráfico 1">
          <a:extLst>
            <a:ext uri="{FF2B5EF4-FFF2-40B4-BE49-F238E27FC236}">
              <a16:creationId xmlns:a16="http://schemas.microsoft.com/office/drawing/2014/main" id="{99B0BBBE-CAB2-3F4C-B6D9-FE4CB82B4A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3E796-0F92-4440-B87E-AE3F92AC967B}">
  <sheetPr>
    <tabColor theme="4" tint="0.79998168889431442"/>
  </sheetPr>
  <dimension ref="A1:Q102"/>
  <sheetViews>
    <sheetView topLeftCell="A2" zoomScale="90" zoomScaleNormal="100" workbookViewId="0">
      <selection activeCell="D24" sqref="D24"/>
    </sheetView>
  </sheetViews>
  <sheetFormatPr baseColWidth="10" defaultColWidth="10.83203125" defaultRowHeight="16"/>
  <cols>
    <col min="1" max="3" width="25.33203125" style="2" customWidth="1"/>
    <col min="4" max="4" width="18.83203125" style="2" customWidth="1"/>
    <col min="5" max="7" width="15.83203125" style="2" customWidth="1"/>
    <col min="8" max="9" width="31.83203125" style="2" customWidth="1"/>
    <col min="10" max="11" width="21.33203125" style="2" bestFit="1" customWidth="1"/>
    <col min="12" max="12" width="21.6640625" style="2" customWidth="1"/>
    <col min="13" max="13" width="14.1640625" style="2" bestFit="1" customWidth="1"/>
    <col min="14" max="14" width="11.6640625" style="2" bestFit="1" customWidth="1"/>
    <col min="15" max="15" width="20.1640625" style="2" bestFit="1" customWidth="1"/>
    <col min="16" max="16" width="28.83203125" style="2" customWidth="1"/>
    <col min="17" max="17" width="45.33203125" style="2" customWidth="1"/>
    <col min="18" max="16384" width="10.83203125" style="2"/>
  </cols>
  <sheetData>
    <row r="1" spans="1:11" s="1" customFormat="1" ht="21">
      <c r="A1" s="418" t="s">
        <v>0</v>
      </c>
      <c r="B1" s="419"/>
      <c r="C1" s="419"/>
      <c r="D1" s="419"/>
      <c r="E1" s="419"/>
      <c r="F1" s="419"/>
      <c r="G1" s="419"/>
      <c r="H1" s="419"/>
      <c r="I1" s="420"/>
    </row>
    <row r="2" spans="1:11" ht="51">
      <c r="A2" s="396" t="s">
        <v>99</v>
      </c>
      <c r="B2" s="397"/>
      <c r="C2" s="397"/>
      <c r="D2" s="74" t="s">
        <v>107</v>
      </c>
      <c r="E2" s="70" t="s">
        <v>112</v>
      </c>
      <c r="F2" s="70" t="s">
        <v>113</v>
      </c>
      <c r="G2" s="70" t="s">
        <v>114</v>
      </c>
      <c r="H2" s="397" t="s">
        <v>115</v>
      </c>
      <c r="I2" s="421"/>
    </row>
    <row r="3" spans="1:11" ht="21" customHeight="1">
      <c r="A3" s="309" t="s">
        <v>1</v>
      </c>
      <c r="B3" s="310"/>
      <c r="C3" s="310"/>
      <c r="D3" s="71">
        <v>97931.865462999995</v>
      </c>
      <c r="E3" s="45">
        <f>D3/D$3</f>
        <v>1</v>
      </c>
      <c r="F3" s="355"/>
      <c r="G3" s="355"/>
      <c r="H3" s="422" t="s">
        <v>171</v>
      </c>
      <c r="I3" s="423"/>
    </row>
    <row r="4" spans="1:11" ht="21" customHeight="1">
      <c r="A4" s="359" t="s">
        <v>95</v>
      </c>
      <c r="B4" s="360"/>
      <c r="C4" s="360"/>
      <c r="D4" s="72">
        <v>9265.18</v>
      </c>
      <c r="E4" s="10">
        <f>D4/D$3</f>
        <v>9.4608429607628705E-2</v>
      </c>
      <c r="F4" s="355"/>
      <c r="G4" s="355"/>
      <c r="H4" s="422"/>
      <c r="I4" s="423"/>
    </row>
    <row r="5" spans="1:11" ht="19">
      <c r="A5" s="363" t="s">
        <v>96</v>
      </c>
      <c r="B5" s="364"/>
      <c r="C5" s="364"/>
      <c r="D5" s="73">
        <v>4413</v>
      </c>
      <c r="E5" s="46">
        <f t="shared" ref="E5:E9" si="0">D5/D$3</f>
        <v>4.5061941576792407E-2</v>
      </c>
      <c r="F5" s="355"/>
      <c r="G5" s="355"/>
      <c r="H5" s="422"/>
      <c r="I5" s="423"/>
    </row>
    <row r="6" spans="1:11" ht="19">
      <c r="A6" s="363" t="s">
        <v>97</v>
      </c>
      <c r="B6" s="364"/>
      <c r="C6" s="364"/>
      <c r="D6" s="73">
        <v>1692.18</v>
      </c>
      <c r="E6" s="46">
        <f t="shared" si="0"/>
        <v>1.7279156197012594E-2</v>
      </c>
      <c r="F6" s="355"/>
      <c r="G6" s="355"/>
      <c r="H6" s="422"/>
      <c r="I6" s="423"/>
    </row>
    <row r="7" spans="1:11" ht="19">
      <c r="A7" s="363" t="s">
        <v>98</v>
      </c>
      <c r="B7" s="364"/>
      <c r="C7" s="364"/>
      <c r="D7" s="73">
        <v>3160</v>
      </c>
      <c r="E7" s="46">
        <f t="shared" si="0"/>
        <v>3.2267331833823708E-2</v>
      </c>
      <c r="F7" s="355"/>
      <c r="G7" s="355"/>
      <c r="H7" s="422"/>
      <c r="I7" s="423"/>
    </row>
    <row r="8" spans="1:11" ht="21">
      <c r="A8" s="359" t="s">
        <v>100</v>
      </c>
      <c r="B8" s="360"/>
      <c r="C8" s="360"/>
      <c r="D8" s="72">
        <v>3875.37403587162</v>
      </c>
      <c r="E8" s="10">
        <f>D8/D$3</f>
        <v>3.9572145568244989E-2</v>
      </c>
      <c r="F8" s="355"/>
      <c r="G8" s="355"/>
      <c r="H8" s="422"/>
      <c r="I8" s="423"/>
    </row>
    <row r="9" spans="1:11" ht="38" customHeight="1">
      <c r="A9" s="361" t="s">
        <v>101</v>
      </c>
      <c r="B9" s="362"/>
      <c r="C9" s="362"/>
      <c r="D9" s="73">
        <v>2184.9205358716199</v>
      </c>
      <c r="E9" s="46">
        <f t="shared" si="0"/>
        <v>2.2310618975159957E-2</v>
      </c>
      <c r="F9" s="355"/>
      <c r="G9" s="355"/>
      <c r="H9" s="422"/>
      <c r="I9" s="423"/>
      <c r="J9" s="44"/>
      <c r="K9" s="44"/>
    </row>
    <row r="10" spans="1:11" ht="38" customHeight="1">
      <c r="A10" s="361" t="s">
        <v>154</v>
      </c>
      <c r="B10" s="362"/>
      <c r="C10" s="362"/>
      <c r="D10" s="73">
        <v>1110.1978999999999</v>
      </c>
      <c r="E10" s="46">
        <f t="shared" ref="E10:E11" si="1">D10/D$3</f>
        <v>1.1336431658390577E-2</v>
      </c>
      <c r="F10" s="355"/>
      <c r="G10" s="355"/>
      <c r="H10" s="422"/>
      <c r="I10" s="423"/>
      <c r="J10" s="44"/>
      <c r="K10" s="44"/>
    </row>
    <row r="11" spans="1:11" ht="38" customHeight="1">
      <c r="A11" s="361" t="s">
        <v>155</v>
      </c>
      <c r="B11" s="362"/>
      <c r="C11" s="362"/>
      <c r="D11" s="73">
        <v>251.3134</v>
      </c>
      <c r="E11" s="46">
        <f t="shared" si="1"/>
        <v>2.5662066050906552E-3</v>
      </c>
      <c r="F11" s="355"/>
      <c r="G11" s="355"/>
      <c r="H11" s="422"/>
      <c r="I11" s="423"/>
      <c r="J11" s="44"/>
      <c r="K11" s="44"/>
    </row>
    <row r="12" spans="1:11" ht="38" customHeight="1">
      <c r="A12" s="361" t="s">
        <v>156</v>
      </c>
      <c r="B12" s="362"/>
      <c r="C12" s="362"/>
      <c r="D12" s="73">
        <v>328.94220000000001</v>
      </c>
      <c r="E12" s="46">
        <f t="shared" ref="E12" si="2">D12/D$3</f>
        <v>3.3588883296037991E-3</v>
      </c>
      <c r="F12" s="355"/>
      <c r="G12" s="355"/>
      <c r="H12" s="422"/>
      <c r="I12" s="423"/>
      <c r="J12" s="44"/>
      <c r="K12" s="44"/>
    </row>
    <row r="13" spans="1:11" s="3" customFormat="1" ht="21" customHeight="1">
      <c r="A13" s="309" t="s">
        <v>102</v>
      </c>
      <c r="B13" s="310"/>
      <c r="C13" s="310"/>
      <c r="D13" s="71">
        <f>D3-D4-D8</f>
        <v>84791.311427128385</v>
      </c>
      <c r="E13" s="45">
        <f>D13/D$3</f>
        <v>0.86581942482412644</v>
      </c>
      <c r="F13" s="45">
        <f>D13/D$13</f>
        <v>1</v>
      </c>
      <c r="G13" s="355"/>
      <c r="H13" s="422" t="s">
        <v>172</v>
      </c>
      <c r="I13" s="423"/>
    </row>
    <row r="14" spans="1:11" s="4" customFormat="1" ht="38" customHeight="1">
      <c r="A14" s="359" t="s">
        <v>2</v>
      </c>
      <c r="B14" s="360"/>
      <c r="C14" s="360"/>
      <c r="D14" s="72">
        <f>SUM(D15:D17)</f>
        <v>14723.733099999999</v>
      </c>
      <c r="E14" s="10">
        <f>D14/D$3</f>
        <v>0.15034670309188411</v>
      </c>
      <c r="F14" s="10">
        <f t="shared" ref="F14:F19" si="3">D14/D$13</f>
        <v>0.1736467198370191</v>
      </c>
      <c r="G14" s="355"/>
      <c r="H14" s="422"/>
      <c r="I14" s="423"/>
    </row>
    <row r="15" spans="1:11" ht="38" customHeight="1">
      <c r="A15" s="363" t="s">
        <v>3</v>
      </c>
      <c r="B15" s="364"/>
      <c r="C15" s="364"/>
      <c r="D15" s="75">
        <v>0</v>
      </c>
      <c r="E15" s="46">
        <f t="shared" ref="E15:E20" si="4">D15/D$3</f>
        <v>0</v>
      </c>
      <c r="F15" s="46">
        <f t="shared" si="3"/>
        <v>0</v>
      </c>
      <c r="G15" s="355"/>
      <c r="H15" s="422"/>
      <c r="I15" s="423"/>
    </row>
    <row r="16" spans="1:11" ht="38" customHeight="1">
      <c r="A16" s="363" t="s">
        <v>4</v>
      </c>
      <c r="B16" s="364"/>
      <c r="C16" s="364"/>
      <c r="D16" s="75">
        <v>0</v>
      </c>
      <c r="E16" s="46">
        <f t="shared" si="4"/>
        <v>0</v>
      </c>
      <c r="F16" s="46">
        <f t="shared" si="3"/>
        <v>0</v>
      </c>
      <c r="G16" s="355"/>
      <c r="H16" s="422"/>
      <c r="I16" s="423"/>
    </row>
    <row r="17" spans="1:9" ht="38" customHeight="1">
      <c r="A17" s="363" t="s">
        <v>5</v>
      </c>
      <c r="B17" s="364"/>
      <c r="C17" s="364"/>
      <c r="D17" s="73">
        <f>SUM(D18:D21)</f>
        <v>14723.733099999999</v>
      </c>
      <c r="E17" s="46">
        <f t="shared" si="4"/>
        <v>0.15034670309188411</v>
      </c>
      <c r="F17" s="46">
        <f t="shared" si="3"/>
        <v>0.1736467198370191</v>
      </c>
      <c r="G17" s="355"/>
      <c r="H17" s="422"/>
      <c r="I17" s="423"/>
    </row>
    <row r="18" spans="1:9" s="5" customFormat="1" ht="38" customHeight="1">
      <c r="A18" s="357" t="s">
        <v>103</v>
      </c>
      <c r="B18" s="358"/>
      <c r="C18" s="358"/>
      <c r="D18" s="76">
        <v>2554.6345999999999</v>
      </c>
      <c r="E18" s="47">
        <f t="shared" si="4"/>
        <v>2.6085836187458064E-2</v>
      </c>
      <c r="F18" s="47">
        <f t="shared" si="3"/>
        <v>3.0128494971982028E-2</v>
      </c>
      <c r="G18" s="355"/>
      <c r="H18" s="422"/>
      <c r="I18" s="423"/>
    </row>
    <row r="19" spans="1:9" s="5" customFormat="1" ht="38" customHeight="1">
      <c r="A19" s="357" t="s">
        <v>104</v>
      </c>
      <c r="B19" s="358"/>
      <c r="C19" s="358"/>
      <c r="D19" s="76">
        <v>2825.3054999999999</v>
      </c>
      <c r="E19" s="47">
        <f t="shared" si="4"/>
        <v>2.8849705727983291E-2</v>
      </c>
      <c r="F19" s="47">
        <f t="shared" si="3"/>
        <v>3.3320695864317809E-2</v>
      </c>
      <c r="G19" s="355"/>
      <c r="H19" s="422"/>
      <c r="I19" s="423"/>
    </row>
    <row r="20" spans="1:9" s="5" customFormat="1" ht="38" customHeight="1">
      <c r="A20" s="357" t="s">
        <v>80</v>
      </c>
      <c r="B20" s="358"/>
      <c r="C20" s="358"/>
      <c r="D20" s="76">
        <v>1583.3795</v>
      </c>
      <c r="E20" s="47">
        <f t="shared" si="4"/>
        <v>1.6168174602966413E-2</v>
      </c>
      <c r="F20" s="47">
        <f t="shared" ref="F20" si="5">D20/D$13</f>
        <v>1.8673841380089904E-2</v>
      </c>
      <c r="G20" s="355"/>
      <c r="H20" s="422"/>
      <c r="I20" s="423"/>
    </row>
    <row r="21" spans="1:9" s="5" customFormat="1" ht="38" customHeight="1" thickBot="1">
      <c r="A21" s="365" t="s">
        <v>110</v>
      </c>
      <c r="B21" s="366" t="s">
        <v>81</v>
      </c>
      <c r="C21" s="366" t="s">
        <v>81</v>
      </c>
      <c r="D21" s="78">
        <v>7760.4134999999997</v>
      </c>
      <c r="E21" s="79">
        <f t="shared" ref="E21" si="6">D21/D$3</f>
        <v>7.9242986573476337E-2</v>
      </c>
      <c r="F21" s="79">
        <f t="shared" ref="F21" si="7">D21/D$13</f>
        <v>9.1523687620629374E-2</v>
      </c>
      <c r="G21" s="356"/>
      <c r="H21" s="424"/>
      <c r="I21" s="425"/>
    </row>
    <row r="22" spans="1:9" s="3" customFormat="1" ht="21" customHeight="1">
      <c r="A22" s="392" t="s">
        <v>77</v>
      </c>
      <c r="B22" s="393"/>
      <c r="C22" s="393"/>
      <c r="D22" s="80">
        <f>D13-D14</f>
        <v>70067.578327128387</v>
      </c>
      <c r="E22" s="81">
        <f t="shared" ref="E22:E29" si="8">D22/D$3</f>
        <v>0.7154727217322423</v>
      </c>
      <c r="F22" s="81">
        <f t="shared" ref="F22:F36" si="9">D22/D$13</f>
        <v>0.82635328016298093</v>
      </c>
      <c r="G22" s="81">
        <f t="shared" ref="G22:G36" si="10">D22/D$22</f>
        <v>1</v>
      </c>
      <c r="H22" s="426" t="s">
        <v>209</v>
      </c>
      <c r="I22" s="427"/>
    </row>
    <row r="23" spans="1:9" s="4" customFormat="1" ht="80" customHeight="1">
      <c r="A23" s="359" t="s">
        <v>6</v>
      </c>
      <c r="B23" s="360"/>
      <c r="C23" s="360"/>
      <c r="D23" s="72">
        <f>D24+D30+D34</f>
        <v>41408.405899999998</v>
      </c>
      <c r="E23" s="10">
        <f t="shared" si="8"/>
        <v>0.42282872591296305</v>
      </c>
      <c r="F23" s="10">
        <f t="shared" si="9"/>
        <v>0.48835671017527948</v>
      </c>
      <c r="G23" s="10">
        <f t="shared" si="10"/>
        <v>0.59097812267286132</v>
      </c>
      <c r="H23" s="422"/>
      <c r="I23" s="423"/>
    </row>
    <row r="24" spans="1:9" ht="19">
      <c r="A24" s="363" t="s">
        <v>7</v>
      </c>
      <c r="B24" s="364"/>
      <c r="C24" s="364"/>
      <c r="D24" s="75">
        <f>SUM(D25:D29)</f>
        <v>23682.839500000002</v>
      </c>
      <c r="E24" s="46">
        <f t="shared" si="8"/>
        <v>0.24182975978281251</v>
      </c>
      <c r="F24" s="46">
        <f t="shared" si="9"/>
        <v>0.27930738540768513</v>
      </c>
      <c r="G24" s="46">
        <f t="shared" si="10"/>
        <v>0.33799997181907182</v>
      </c>
      <c r="H24" s="422"/>
      <c r="I24" s="423"/>
    </row>
    <row r="25" spans="1:9" s="5" customFormat="1" ht="16" customHeight="1">
      <c r="A25" s="357" t="s">
        <v>111</v>
      </c>
      <c r="B25" s="358" t="s">
        <v>82</v>
      </c>
      <c r="C25" s="358" t="s">
        <v>82</v>
      </c>
      <c r="D25" s="76">
        <v>10827.0689</v>
      </c>
      <c r="E25" s="47">
        <f t="shared" si="8"/>
        <v>0.11055715980505462</v>
      </c>
      <c r="F25" s="47">
        <f t="shared" si="9"/>
        <v>0.12769078243712545</v>
      </c>
      <c r="G25" s="47">
        <f t="shared" si="10"/>
        <v>0.15452323540355659</v>
      </c>
      <c r="H25" s="422"/>
      <c r="I25" s="423"/>
    </row>
    <row r="26" spans="1:9" s="5" customFormat="1" ht="16" customHeight="1">
      <c r="A26" s="357" t="s">
        <v>162</v>
      </c>
      <c r="B26" s="358" t="s">
        <v>83</v>
      </c>
      <c r="C26" s="358" t="s">
        <v>83</v>
      </c>
      <c r="D26" s="76">
        <v>3823.6752000000001</v>
      </c>
      <c r="E26" s="47">
        <f t="shared" si="8"/>
        <v>3.9044239399734879E-2</v>
      </c>
      <c r="F26" s="47">
        <f t="shared" si="9"/>
        <v>4.5095129862287309E-2</v>
      </c>
      <c r="G26" s="47">
        <f t="shared" si="10"/>
        <v>5.457124809063895E-2</v>
      </c>
      <c r="H26" s="422"/>
      <c r="I26" s="423"/>
    </row>
    <row r="27" spans="1:9" s="5" customFormat="1" ht="16" customHeight="1">
      <c r="A27" s="357" t="s">
        <v>161</v>
      </c>
      <c r="B27" s="358" t="s">
        <v>83</v>
      </c>
      <c r="C27" s="358" t="s">
        <v>83</v>
      </c>
      <c r="D27" s="76">
        <v>2363.5320000000002</v>
      </c>
      <c r="E27" s="47">
        <f t="shared" si="8"/>
        <v>2.4134452956918042E-2</v>
      </c>
      <c r="F27" s="47">
        <f t="shared" si="9"/>
        <v>2.787469565241097E-2</v>
      </c>
      <c r="G27" s="47">
        <f t="shared" si="10"/>
        <v>3.3732177655195206E-2</v>
      </c>
      <c r="H27" s="422"/>
      <c r="I27" s="423"/>
    </row>
    <row r="28" spans="1:9" s="5" customFormat="1" ht="16" customHeight="1">
      <c r="A28" s="357" t="s">
        <v>157</v>
      </c>
      <c r="B28" s="358" t="s">
        <v>84</v>
      </c>
      <c r="C28" s="358" t="s">
        <v>84</v>
      </c>
      <c r="D28" s="76">
        <v>2454.0666000000001</v>
      </c>
      <c r="E28" s="47">
        <f t="shared" si="8"/>
        <v>2.5058918140665666E-2</v>
      </c>
      <c r="F28" s="47">
        <f t="shared" si="9"/>
        <v>2.8942430052035246E-2</v>
      </c>
      <c r="G28" s="47">
        <f t="shared" si="10"/>
        <v>3.5024281680502263E-2</v>
      </c>
      <c r="H28" s="422"/>
      <c r="I28" s="423"/>
    </row>
    <row r="29" spans="1:9" s="5" customFormat="1" ht="16" customHeight="1">
      <c r="A29" s="357" t="s">
        <v>158</v>
      </c>
      <c r="B29" s="358" t="s">
        <v>85</v>
      </c>
      <c r="C29" s="358" t="s">
        <v>85</v>
      </c>
      <c r="D29" s="76">
        <v>4214.4967999999999</v>
      </c>
      <c r="E29" s="47">
        <f t="shared" si="8"/>
        <v>4.3034989480439281E-2</v>
      </c>
      <c r="F29" s="47">
        <f t="shared" si="9"/>
        <v>4.9704347403826107E-2</v>
      </c>
      <c r="G29" s="47">
        <f t="shared" si="10"/>
        <v>6.0149028989178774E-2</v>
      </c>
      <c r="H29" s="422"/>
      <c r="I29" s="423"/>
    </row>
    <row r="30" spans="1:9" ht="19">
      <c r="A30" s="363" t="s">
        <v>57</v>
      </c>
      <c r="B30" s="364"/>
      <c r="C30" s="364"/>
      <c r="D30" s="75">
        <f>SUM(D31:D33)</f>
        <v>2921.3837000000003</v>
      </c>
      <c r="E30" s="46">
        <f t="shared" ref="E30:E33" si="11">D30/D$3</f>
        <v>2.9830777614501168E-2</v>
      </c>
      <c r="F30" s="46">
        <f t="shared" si="9"/>
        <v>3.4453809604191643E-2</v>
      </c>
      <c r="G30" s="46">
        <f t="shared" si="10"/>
        <v>4.1693801466361154E-2</v>
      </c>
      <c r="H30" s="422"/>
      <c r="I30" s="423"/>
    </row>
    <row r="31" spans="1:9" s="49" customFormat="1" ht="16" customHeight="1">
      <c r="A31" s="394" t="s">
        <v>120</v>
      </c>
      <c r="B31" s="395" t="s">
        <v>80</v>
      </c>
      <c r="C31" s="395" t="s">
        <v>80</v>
      </c>
      <c r="D31" s="76">
        <v>317.346</v>
      </c>
      <c r="E31" s="48">
        <f t="shared" si="11"/>
        <v>3.240477432954626E-3</v>
      </c>
      <c r="F31" s="48">
        <f t="shared" si="9"/>
        <v>3.7426712083906675E-3</v>
      </c>
      <c r="G31" s="48">
        <f t="shared" si="10"/>
        <v>4.5291418310247451E-3</v>
      </c>
      <c r="H31" s="422"/>
      <c r="I31" s="423"/>
    </row>
    <row r="32" spans="1:9" s="49" customFormat="1" ht="16" customHeight="1">
      <c r="A32" s="394" t="s">
        <v>121</v>
      </c>
      <c r="B32" s="395" t="s">
        <v>80</v>
      </c>
      <c r="C32" s="395" t="s">
        <v>80</v>
      </c>
      <c r="D32" s="76">
        <v>410.49509999999998</v>
      </c>
      <c r="E32" s="48">
        <f t="shared" si="11"/>
        <v>4.1916397493223555E-3</v>
      </c>
      <c r="F32" s="48">
        <f t="shared" si="9"/>
        <v>4.8412401352323576E-3</v>
      </c>
      <c r="G32" s="48">
        <f t="shared" si="10"/>
        <v>5.858559833244111E-3</v>
      </c>
      <c r="H32" s="422"/>
      <c r="I32" s="423"/>
    </row>
    <row r="33" spans="1:15" s="49" customFormat="1" ht="16" customHeight="1">
      <c r="A33" s="394" t="s">
        <v>208</v>
      </c>
      <c r="B33" s="395" t="s">
        <v>80</v>
      </c>
      <c r="C33" s="395" t="s">
        <v>80</v>
      </c>
      <c r="D33" s="76">
        <v>2193.5426000000002</v>
      </c>
      <c r="E33" s="48">
        <f t="shared" si="11"/>
        <v>2.2398660432224184E-2</v>
      </c>
      <c r="F33" s="48">
        <f t="shared" si="9"/>
        <v>2.5869898260568614E-2</v>
      </c>
      <c r="G33" s="48">
        <f t="shared" si="10"/>
        <v>3.1306099802092292E-2</v>
      </c>
      <c r="H33" s="422"/>
      <c r="I33" s="423"/>
    </row>
    <row r="34" spans="1:15" ht="19">
      <c r="A34" s="363" t="s">
        <v>8</v>
      </c>
      <c r="B34" s="364"/>
      <c r="C34" s="364"/>
      <c r="D34" s="75">
        <f>SUM(D35:D45)</f>
        <v>14804.182699999998</v>
      </c>
      <c r="E34" s="46">
        <f t="shared" ref="E34:E45" si="12">D34/D$3</f>
        <v>0.15116818851564939</v>
      </c>
      <c r="F34" s="46">
        <f t="shared" si="9"/>
        <v>0.17459551516340274</v>
      </c>
      <c r="G34" s="46">
        <f t="shared" si="10"/>
        <v>0.21128434938742838</v>
      </c>
      <c r="H34" s="422"/>
      <c r="I34" s="423"/>
    </row>
    <row r="35" spans="1:15" s="5" customFormat="1" ht="16" customHeight="1">
      <c r="A35" s="357" t="s">
        <v>86</v>
      </c>
      <c r="B35" s="358" t="s">
        <v>86</v>
      </c>
      <c r="C35" s="358" t="s">
        <v>86</v>
      </c>
      <c r="D35" s="76">
        <v>2581.6017999999999</v>
      </c>
      <c r="E35" s="47">
        <f t="shared" si="12"/>
        <v>2.6361203146644484E-2</v>
      </c>
      <c r="F35" s="47">
        <f t="shared" si="9"/>
        <v>3.0446536992397955E-2</v>
      </c>
      <c r="G35" s="47">
        <f t="shared" si="10"/>
        <v>3.6844455904371812E-2</v>
      </c>
      <c r="H35" s="422"/>
      <c r="I35" s="423"/>
    </row>
    <row r="36" spans="1:15" s="5" customFormat="1" ht="16" customHeight="1">
      <c r="A36" s="357" t="s">
        <v>253</v>
      </c>
      <c r="B36" s="358" t="s">
        <v>87</v>
      </c>
      <c r="C36" s="358" t="s">
        <v>87</v>
      </c>
      <c r="D36" s="76">
        <v>630.11369999999999</v>
      </c>
      <c r="E36" s="47">
        <f t="shared" si="12"/>
        <v>6.4342050161197593E-3</v>
      </c>
      <c r="F36" s="47">
        <f t="shared" si="9"/>
        <v>7.4313474976918396E-3</v>
      </c>
      <c r="G36" s="47">
        <f t="shared" si="10"/>
        <v>8.9929424570398767E-3</v>
      </c>
      <c r="H36" s="422"/>
      <c r="I36" s="423"/>
    </row>
    <row r="37" spans="1:15" s="5" customFormat="1" ht="16" customHeight="1">
      <c r="A37" s="357" t="s">
        <v>152</v>
      </c>
      <c r="B37" s="358" t="s">
        <v>87</v>
      </c>
      <c r="C37" s="358" t="s">
        <v>87</v>
      </c>
      <c r="D37" s="76">
        <v>1610.4341999999999</v>
      </c>
      <c r="E37" s="47">
        <f t="shared" ref="E37" si="13">D37/D$3</f>
        <v>1.644443504048684E-2</v>
      </c>
      <c r="F37" s="47">
        <f t="shared" ref="F37" si="14">D37/D$13</f>
        <v>1.8992915345861165E-2</v>
      </c>
      <c r="G37" s="47">
        <f t="shared" ref="G37" si="15">D37/D$22</f>
        <v>2.2984013982633687E-2</v>
      </c>
      <c r="H37" s="422"/>
      <c r="I37" s="423"/>
    </row>
    <row r="38" spans="1:15" s="5" customFormat="1" ht="16" customHeight="1">
      <c r="A38" s="357" t="s">
        <v>88</v>
      </c>
      <c r="B38" s="358" t="s">
        <v>88</v>
      </c>
      <c r="C38" s="358" t="s">
        <v>88</v>
      </c>
      <c r="D38" s="76">
        <v>4331.2960999999996</v>
      </c>
      <c r="E38" s="47">
        <f t="shared" si="12"/>
        <v>4.4227648268748879E-2</v>
      </c>
      <c r="F38" s="47">
        <f>D38/D$13</f>
        <v>5.1081838776870621E-2</v>
      </c>
      <c r="G38" s="47">
        <f>D38/D$22</f>
        <v>6.1815981134359141E-2</v>
      </c>
      <c r="H38" s="422"/>
      <c r="I38" s="423"/>
    </row>
    <row r="39" spans="1:15" s="5" customFormat="1" ht="16" customHeight="1">
      <c r="A39" s="357" t="s">
        <v>89</v>
      </c>
      <c r="B39" s="358" t="s">
        <v>89</v>
      </c>
      <c r="C39" s="358" t="s">
        <v>89</v>
      </c>
      <c r="D39" s="76">
        <v>2201.7361999999998</v>
      </c>
      <c r="E39" s="47">
        <f t="shared" si="12"/>
        <v>2.2482326764538617E-2</v>
      </c>
      <c r="F39" s="47">
        <f>D39/D$13</f>
        <v>2.5966530803008311E-2</v>
      </c>
      <c r="G39" s="47">
        <f>D39/D$22</f>
        <v>3.1423038337655002E-2</v>
      </c>
      <c r="H39" s="422"/>
      <c r="I39" s="423"/>
    </row>
    <row r="40" spans="1:15" s="5" customFormat="1" ht="16" customHeight="1">
      <c r="A40" s="357" t="s">
        <v>90</v>
      </c>
      <c r="B40" s="358" t="s">
        <v>90</v>
      </c>
      <c r="C40" s="358" t="s">
        <v>90</v>
      </c>
      <c r="D40" s="76">
        <v>1121.2569000000001</v>
      </c>
      <c r="E40" s="47">
        <f t="shared" si="12"/>
        <v>1.1449357108628001E-2</v>
      </c>
      <c r="F40" s="47">
        <f>D40/D$13</f>
        <v>1.3223724001056808E-2</v>
      </c>
      <c r="G40" s="47">
        <f>D40/D$22</f>
        <v>1.6002506819418331E-2</v>
      </c>
      <c r="H40" s="422"/>
      <c r="I40" s="423"/>
    </row>
    <row r="41" spans="1:15" s="5" customFormat="1" ht="16" customHeight="1">
      <c r="A41" s="357" t="s">
        <v>153</v>
      </c>
      <c r="B41" s="358" t="s">
        <v>90</v>
      </c>
      <c r="C41" s="358" t="s">
        <v>90</v>
      </c>
      <c r="D41" s="76">
        <v>144.61709999999999</v>
      </c>
      <c r="E41" s="47">
        <f t="shared" ref="E41" si="16">D41/D$3</f>
        <v>1.4767113780206538E-3</v>
      </c>
      <c r="F41" s="47">
        <f t="shared" ref="F41" si="17">D41/D$13</f>
        <v>1.7055650816804181E-3</v>
      </c>
      <c r="G41" s="47">
        <f t="shared" ref="G41" si="18">D41/D$22</f>
        <v>2.0639660089980293E-3</v>
      </c>
      <c r="H41" s="422"/>
      <c r="I41" s="423"/>
    </row>
    <row r="42" spans="1:15" s="5" customFormat="1" ht="16" customHeight="1">
      <c r="A42" s="357" t="s">
        <v>91</v>
      </c>
      <c r="B42" s="358" t="s">
        <v>91</v>
      </c>
      <c r="C42" s="358" t="s">
        <v>91</v>
      </c>
      <c r="D42" s="76">
        <v>352.2987</v>
      </c>
      <c r="E42" s="47">
        <f t="shared" si="12"/>
        <v>3.5973857776976921E-3</v>
      </c>
      <c r="F42" s="47">
        <f t="shared" ref="F42:F47" si="19">D42/D$13</f>
        <v>4.1548915103497798E-3</v>
      </c>
      <c r="G42" s="47">
        <f t="shared" ref="G42:G47" si="20">D42/D$22</f>
        <v>5.02798453166461E-3</v>
      </c>
      <c r="H42" s="422"/>
      <c r="I42" s="423"/>
    </row>
    <row r="43" spans="1:15" s="5" customFormat="1" ht="16" customHeight="1">
      <c r="A43" s="357" t="s">
        <v>92</v>
      </c>
      <c r="B43" s="358" t="s">
        <v>92</v>
      </c>
      <c r="C43" s="358" t="s">
        <v>92</v>
      </c>
      <c r="D43" s="76">
        <v>93.200299999999999</v>
      </c>
      <c r="E43" s="47">
        <f t="shared" si="12"/>
        <v>9.5168512883288595E-4</v>
      </c>
      <c r="F43" s="47">
        <f t="shared" si="19"/>
        <v>1.0991727622953265E-3</v>
      </c>
      <c r="G43" s="47">
        <f t="shared" si="20"/>
        <v>1.3301487253472724E-3</v>
      </c>
      <c r="H43" s="422"/>
      <c r="I43" s="423"/>
    </row>
    <row r="44" spans="1:15" s="5" customFormat="1" ht="16" customHeight="1">
      <c r="A44" s="357" t="s">
        <v>93</v>
      </c>
      <c r="B44" s="358" t="s">
        <v>93</v>
      </c>
      <c r="C44" s="358" t="s">
        <v>93</v>
      </c>
      <c r="D44" s="76">
        <v>62.386600000000001</v>
      </c>
      <c r="E44" s="47">
        <f t="shared" si="12"/>
        <v>6.3704086208355251E-4</v>
      </c>
      <c r="F44" s="47">
        <f t="shared" si="19"/>
        <v>7.3576642405886702E-4</v>
      </c>
      <c r="G44" s="47">
        <f t="shared" si="20"/>
        <v>8.9037756819184224E-4</v>
      </c>
      <c r="H44" s="422"/>
      <c r="I44" s="423"/>
    </row>
    <row r="45" spans="1:15" s="5" customFormat="1" ht="17" customHeight="1" thickBot="1">
      <c r="A45" s="412" t="s">
        <v>254</v>
      </c>
      <c r="B45" s="413" t="s">
        <v>94</v>
      </c>
      <c r="C45" s="413" t="s">
        <v>94</v>
      </c>
      <c r="D45" s="182">
        <v>1675.2411</v>
      </c>
      <c r="E45" s="183">
        <f t="shared" si="12"/>
        <v>1.7106190023848052E-2</v>
      </c>
      <c r="F45" s="183">
        <f t="shared" si="19"/>
        <v>1.9757225968131665E-2</v>
      </c>
      <c r="G45" s="183">
        <f t="shared" si="20"/>
        <v>2.390893391774879E-2</v>
      </c>
      <c r="H45" s="428"/>
      <c r="I45" s="429"/>
    </row>
    <row r="46" spans="1:15" s="3" customFormat="1" ht="21">
      <c r="A46" s="392" t="s">
        <v>9</v>
      </c>
      <c r="B46" s="393"/>
      <c r="C46" s="393"/>
      <c r="D46" s="80">
        <f>D22-D23</f>
        <v>28659.172427128389</v>
      </c>
      <c r="E46" s="81">
        <f>D46/D$3</f>
        <v>0.29264399581927925</v>
      </c>
      <c r="F46" s="81">
        <f t="shared" si="19"/>
        <v>0.33799656998770145</v>
      </c>
      <c r="G46" s="81">
        <f t="shared" si="20"/>
        <v>0.40902187732713868</v>
      </c>
      <c r="H46" s="430"/>
      <c r="I46" s="431"/>
      <c r="J46" s="5"/>
      <c r="K46" s="5"/>
      <c r="L46" s="5"/>
      <c r="M46" s="5"/>
      <c r="N46" s="5"/>
      <c r="O46" s="5"/>
    </row>
    <row r="47" spans="1:15" s="3" customFormat="1" ht="21">
      <c r="A47" s="359" t="s">
        <v>122</v>
      </c>
      <c r="B47" s="360"/>
      <c r="C47" s="360"/>
      <c r="D47" s="72">
        <v>12479.5897</v>
      </c>
      <c r="E47" s="77">
        <f>D47/D$3</f>
        <v>0.12743134873413559</v>
      </c>
      <c r="F47" s="77">
        <f t="shared" si="19"/>
        <v>0.14718005288460775</v>
      </c>
      <c r="G47" s="77">
        <f t="shared" si="20"/>
        <v>0.17810790665171627</v>
      </c>
      <c r="H47" s="432"/>
      <c r="I47" s="433"/>
      <c r="J47" s="5"/>
      <c r="K47" s="5"/>
      <c r="L47" s="5"/>
      <c r="M47" s="5"/>
      <c r="N47" s="5"/>
      <c r="O47" s="5"/>
    </row>
    <row r="48" spans="1:15" s="3" customFormat="1" ht="21">
      <c r="A48" s="359" t="s">
        <v>123</v>
      </c>
      <c r="B48" s="360"/>
      <c r="C48" s="360"/>
      <c r="D48" s="72">
        <v>5389.6440000000002</v>
      </c>
      <c r="E48" s="77">
        <f t="shared" ref="E48:E51" si="21">D48/D$3</f>
        <v>5.5034630194359793E-2</v>
      </c>
      <c r="F48" s="77">
        <f t="shared" ref="F48:F51" si="22">D48/D$13</f>
        <v>6.3563635345255692E-2</v>
      </c>
      <c r="G48" s="77">
        <f t="shared" ref="G48:G51" si="23">D48/D$22</f>
        <v>7.6920654726171225E-2</v>
      </c>
      <c r="H48" s="432"/>
      <c r="I48" s="433"/>
      <c r="J48" s="5"/>
      <c r="K48" s="5"/>
      <c r="L48" s="5"/>
      <c r="M48" s="5"/>
      <c r="N48" s="5"/>
      <c r="O48" s="5"/>
    </row>
    <row r="49" spans="1:17" s="3" customFormat="1" ht="21">
      <c r="A49" s="359" t="s">
        <v>124</v>
      </c>
      <c r="B49" s="360"/>
      <c r="C49" s="360"/>
      <c r="D49" s="72">
        <v>3277.0131000000001</v>
      </c>
      <c r="E49" s="77">
        <f t="shared" si="21"/>
        <v>3.3462173772622568E-2</v>
      </c>
      <c r="F49" s="77">
        <f t="shared" si="22"/>
        <v>3.8647982261913016E-2</v>
      </c>
      <c r="G49" s="77">
        <f t="shared" si="23"/>
        <v>4.67693215355671E-2</v>
      </c>
      <c r="H49" s="432"/>
      <c r="I49" s="433"/>
      <c r="J49" s="5"/>
      <c r="K49" s="5"/>
      <c r="L49" s="5"/>
      <c r="M49" s="34"/>
      <c r="N49" s="5"/>
      <c r="O49" s="5"/>
    </row>
    <row r="50" spans="1:17" s="3" customFormat="1" ht="21">
      <c r="A50" s="359" t="s">
        <v>125</v>
      </c>
      <c r="B50" s="360"/>
      <c r="C50" s="360"/>
      <c r="D50" s="72">
        <v>6311.9242000000004</v>
      </c>
      <c r="E50" s="77">
        <f t="shared" si="21"/>
        <v>6.4452200212450073E-2</v>
      </c>
      <c r="F50" s="77">
        <f t="shared" si="22"/>
        <v>7.4440695559056358E-2</v>
      </c>
      <c r="G50" s="77">
        <f t="shared" si="23"/>
        <v>9.0083378799409475E-2</v>
      </c>
      <c r="H50" s="432"/>
      <c r="I50" s="433"/>
      <c r="J50" s="5"/>
      <c r="K50" s="5"/>
      <c r="L50" s="5"/>
      <c r="M50" s="5"/>
      <c r="N50" s="5"/>
      <c r="O50" s="5"/>
    </row>
    <row r="51" spans="1:17" s="3" customFormat="1" ht="21">
      <c r="A51" s="359" t="s">
        <v>126</v>
      </c>
      <c r="B51" s="360"/>
      <c r="C51" s="360"/>
      <c r="D51" s="88">
        <v>1201.0018</v>
      </c>
      <c r="E51" s="77">
        <f t="shared" si="21"/>
        <v>1.2263646713170749E-2</v>
      </c>
      <c r="F51" s="77">
        <f t="shared" si="22"/>
        <v>1.4164208334390119E-2</v>
      </c>
      <c r="G51" s="77">
        <f t="shared" si="23"/>
        <v>1.7140620935874453E-2</v>
      </c>
      <c r="H51" s="432"/>
      <c r="I51" s="433"/>
      <c r="J51" s="5"/>
      <c r="K51" s="5"/>
      <c r="L51" s="5"/>
      <c r="M51" s="5"/>
      <c r="N51" s="5"/>
      <c r="O51" s="5"/>
    </row>
    <row r="52" spans="1:17" ht="21">
      <c r="A52" s="408" t="s">
        <v>173</v>
      </c>
      <c r="B52" s="409"/>
      <c r="C52" s="409"/>
      <c r="D52" s="348">
        <f>D3/D46</f>
        <v>3.4171211925958827</v>
      </c>
      <c r="E52" s="348"/>
      <c r="F52" s="348"/>
      <c r="G52" s="348"/>
      <c r="H52" s="432"/>
      <c r="I52" s="433"/>
      <c r="J52" s="5"/>
      <c r="K52" s="5"/>
      <c r="L52" s="5"/>
      <c r="M52" s="34"/>
      <c r="N52" s="5"/>
      <c r="O52" s="5"/>
    </row>
    <row r="53" spans="1:17" ht="21">
      <c r="A53" s="408" t="s">
        <v>174</v>
      </c>
      <c r="B53" s="409"/>
      <c r="C53" s="409"/>
      <c r="D53" s="348">
        <f>D13/D46</f>
        <v>2.9586099055277</v>
      </c>
      <c r="E53" s="348"/>
      <c r="F53" s="348"/>
      <c r="G53" s="348"/>
      <c r="H53" s="432"/>
      <c r="I53" s="433"/>
      <c r="J53" s="5"/>
      <c r="K53" s="5"/>
      <c r="L53" s="5"/>
      <c r="M53" s="5"/>
      <c r="N53" s="5"/>
      <c r="O53" s="5"/>
    </row>
    <row r="54" spans="1:17" ht="22" thickBot="1">
      <c r="A54" s="410" t="s">
        <v>175</v>
      </c>
      <c r="B54" s="411"/>
      <c r="C54" s="411"/>
      <c r="D54" s="349">
        <f>D22/D46</f>
        <v>2.4448570001555017</v>
      </c>
      <c r="E54" s="349"/>
      <c r="F54" s="349"/>
      <c r="G54" s="349"/>
      <c r="H54" s="434"/>
      <c r="I54" s="435"/>
      <c r="J54" s="5"/>
      <c r="K54" s="5"/>
      <c r="L54" s="5"/>
      <c r="M54" s="5"/>
      <c r="N54" s="5"/>
      <c r="O54" s="5"/>
    </row>
    <row r="55" spans="1:17" ht="53" customHeight="1">
      <c r="A55" s="392" t="s">
        <v>116</v>
      </c>
      <c r="B55" s="393"/>
      <c r="C55" s="352" t="s">
        <v>117</v>
      </c>
      <c r="D55" s="181">
        <f>D14+D23</f>
        <v>56132.138999999996</v>
      </c>
      <c r="E55" s="352" t="s">
        <v>118</v>
      </c>
      <c r="F55" s="350">
        <f>$D$55/$D$13</f>
        <v>0.66200343001229855</v>
      </c>
      <c r="G55" s="350"/>
      <c r="H55" s="426" t="s">
        <v>188</v>
      </c>
      <c r="I55" s="427"/>
      <c r="J55" s="5"/>
      <c r="K55" s="5"/>
      <c r="L55" s="5"/>
      <c r="M55" s="5"/>
      <c r="N55" s="5"/>
      <c r="O55" s="5"/>
      <c r="P55" s="5"/>
      <c r="Q55" s="5"/>
    </row>
    <row r="56" spans="1:17" ht="53" customHeight="1">
      <c r="A56" s="309" t="s">
        <v>76</v>
      </c>
      <c r="B56" s="310"/>
      <c r="C56" s="353"/>
      <c r="D56" s="72">
        <f>D24</f>
        <v>23682.839500000002</v>
      </c>
      <c r="E56" s="353"/>
      <c r="F56" s="351">
        <f>$D$56/$D$55</f>
        <v>0.42191229341892716</v>
      </c>
      <c r="G56" s="351"/>
      <c r="H56" s="422"/>
      <c r="I56" s="423"/>
      <c r="J56" s="5"/>
      <c r="K56" s="5"/>
      <c r="L56" s="5"/>
      <c r="M56" s="5"/>
      <c r="N56" s="5"/>
      <c r="O56" s="5"/>
      <c r="P56" s="5"/>
      <c r="Q56" s="5"/>
    </row>
    <row r="57" spans="1:17" ht="53" customHeight="1" thickBot="1">
      <c r="A57" s="406" t="s">
        <v>119</v>
      </c>
      <c r="B57" s="407"/>
      <c r="C57" s="354"/>
      <c r="D57" s="82">
        <f>D30</f>
        <v>2921.3837000000003</v>
      </c>
      <c r="E57" s="354"/>
      <c r="F57" s="346">
        <f>$D$57/$D$13</f>
        <v>3.4453809604191643E-2</v>
      </c>
      <c r="G57" s="346">
        <f>D55*0.38%</f>
        <v>213.30212819999997</v>
      </c>
      <c r="H57" s="428"/>
      <c r="I57" s="429"/>
      <c r="J57" s="5"/>
      <c r="K57" s="5"/>
      <c r="L57" s="5"/>
      <c r="M57" s="5"/>
      <c r="N57" s="5"/>
      <c r="O57" s="5"/>
      <c r="P57" s="5"/>
      <c r="Q57" s="5"/>
    </row>
    <row r="58" spans="1:17">
      <c r="H58" s="5"/>
      <c r="I58" s="5"/>
      <c r="J58" s="5"/>
      <c r="K58" s="5"/>
      <c r="L58" s="5"/>
      <c r="M58" s="5"/>
      <c r="N58" s="5"/>
      <c r="O58" s="5"/>
      <c r="P58" s="5"/>
      <c r="Q58" s="5"/>
    </row>
    <row r="59" spans="1:17" s="6" customFormat="1" ht="17" thickBot="1">
      <c r="F59" s="2"/>
      <c r="G59" s="2"/>
      <c r="H59" s="5"/>
      <c r="I59" s="5"/>
      <c r="J59" s="5"/>
      <c r="K59" s="5"/>
      <c r="L59" s="5"/>
      <c r="M59" s="5"/>
      <c r="N59" s="5"/>
      <c r="O59" s="5"/>
      <c r="P59" s="5"/>
      <c r="Q59" s="5"/>
    </row>
    <row r="60" spans="1:17" s="1" customFormat="1" ht="21">
      <c r="A60" s="418" t="s">
        <v>10</v>
      </c>
      <c r="B60" s="419"/>
      <c r="C60" s="419"/>
      <c r="D60" s="419"/>
      <c r="E60" s="419"/>
      <c r="F60" s="419"/>
      <c r="G60" s="419"/>
      <c r="H60" s="419"/>
      <c r="I60" s="420"/>
      <c r="J60" s="2"/>
      <c r="K60" s="2"/>
      <c r="L60" s="2"/>
      <c r="M60" s="2"/>
      <c r="N60" s="2"/>
      <c r="O60" s="2"/>
      <c r="P60" s="2"/>
      <c r="Q60" s="2"/>
    </row>
    <row r="61" spans="1:17" s="8" customFormat="1" ht="89" thickBot="1">
      <c r="A61" s="311" t="s">
        <v>11</v>
      </c>
      <c r="B61" s="312"/>
      <c r="C61" s="165" t="s">
        <v>12</v>
      </c>
      <c r="D61" s="166" t="s">
        <v>13</v>
      </c>
      <c r="E61" s="165" t="s">
        <v>14</v>
      </c>
      <c r="F61" s="312" t="s">
        <v>15</v>
      </c>
      <c r="G61" s="312"/>
      <c r="H61" s="312" t="s">
        <v>115</v>
      </c>
      <c r="I61" s="436"/>
      <c r="M61" s="5"/>
      <c r="N61" s="5"/>
      <c r="O61" s="5"/>
      <c r="P61" s="5"/>
      <c r="Q61" s="5"/>
    </row>
    <row r="62" spans="1:17" s="9" customFormat="1" ht="38" customHeight="1">
      <c r="A62" s="313" t="s">
        <v>16</v>
      </c>
      <c r="B62" s="314"/>
      <c r="C62" s="170">
        <v>0.22024097925539604</v>
      </c>
      <c r="D62" s="171">
        <f t="shared" ref="D62:D68" si="24">C62*$D$46</f>
        <v>6311.9242000000022</v>
      </c>
      <c r="E62" s="172">
        <f t="shared" ref="E62:E68" si="25">+D62/$D$69</f>
        <v>0.22024097925539604</v>
      </c>
      <c r="F62" s="347">
        <f t="shared" ref="F62:F68" si="26">+D62/$C$74</f>
        <v>7.4440695559056372E-2</v>
      </c>
      <c r="G62" s="347"/>
      <c r="H62" s="321" t="s">
        <v>176</v>
      </c>
      <c r="I62" s="322"/>
      <c r="M62" s="3"/>
      <c r="N62" s="3"/>
      <c r="O62" s="3"/>
      <c r="P62" s="3"/>
      <c r="Q62" s="3"/>
    </row>
    <row r="63" spans="1:17" s="9" customFormat="1" ht="38" customHeight="1">
      <c r="A63" s="315" t="s">
        <v>17</v>
      </c>
      <c r="B63" s="316"/>
      <c r="C63" s="83">
        <v>0.40979265249869523</v>
      </c>
      <c r="D63" s="84">
        <f t="shared" si="24"/>
        <v>11744.318287330412</v>
      </c>
      <c r="E63" s="46">
        <f t="shared" si="25"/>
        <v>0.40979265249869518</v>
      </c>
      <c r="F63" s="333">
        <f t="shared" si="26"/>
        <v>0.13850851095072106</v>
      </c>
      <c r="G63" s="333"/>
      <c r="H63" s="323"/>
      <c r="I63" s="324"/>
      <c r="M63" s="2"/>
      <c r="N63" s="2"/>
      <c r="O63" s="2"/>
      <c r="P63" s="2"/>
      <c r="Q63" s="2"/>
    </row>
    <row r="64" spans="1:17" s="9" customFormat="1" ht="38" customHeight="1">
      <c r="A64" s="317" t="s">
        <v>78</v>
      </c>
      <c r="B64" s="318"/>
      <c r="C64" s="83">
        <v>0.08</v>
      </c>
      <c r="D64" s="84">
        <f t="shared" si="24"/>
        <v>2292.7337941702713</v>
      </c>
      <c r="E64" s="46">
        <f t="shared" si="25"/>
        <v>7.9999999999999988E-2</v>
      </c>
      <c r="F64" s="333">
        <f t="shared" si="26"/>
        <v>2.7039725599016119E-2</v>
      </c>
      <c r="G64" s="333"/>
      <c r="H64" s="323"/>
      <c r="I64" s="324"/>
      <c r="M64" s="2"/>
      <c r="N64" s="2"/>
      <c r="O64" s="2"/>
      <c r="P64" s="2"/>
      <c r="Q64" s="2"/>
    </row>
    <row r="65" spans="1:17" s="9" customFormat="1" ht="38" customHeight="1" thickBot="1">
      <c r="A65" s="437" t="s">
        <v>79</v>
      </c>
      <c r="B65" s="438"/>
      <c r="C65" s="173">
        <v>0.06</v>
      </c>
      <c r="D65" s="174">
        <f t="shared" si="24"/>
        <v>1719.5503456277033</v>
      </c>
      <c r="E65" s="175">
        <f t="shared" si="25"/>
        <v>5.9999999999999991E-2</v>
      </c>
      <c r="F65" s="334">
        <f t="shared" si="26"/>
        <v>2.0279794199262086E-2</v>
      </c>
      <c r="G65" s="334"/>
      <c r="H65" s="325"/>
      <c r="I65" s="326"/>
      <c r="M65" s="6"/>
      <c r="N65" s="6"/>
      <c r="O65" s="6"/>
      <c r="P65" s="6"/>
      <c r="Q65" s="6"/>
    </row>
    <row r="66" spans="1:17" s="9" customFormat="1" ht="38" customHeight="1">
      <c r="A66" s="319" t="s">
        <v>18</v>
      </c>
      <c r="B66" s="320"/>
      <c r="C66" s="167">
        <v>0</v>
      </c>
      <c r="D66" s="168">
        <f t="shared" si="24"/>
        <v>0</v>
      </c>
      <c r="E66" s="169">
        <f t="shared" si="25"/>
        <v>0</v>
      </c>
      <c r="F66" s="335">
        <f t="shared" si="26"/>
        <v>0</v>
      </c>
      <c r="G66" s="335"/>
      <c r="H66" s="336" t="s">
        <v>177</v>
      </c>
      <c r="I66" s="337"/>
      <c r="M66" s="1"/>
      <c r="N66" s="1"/>
      <c r="O66" s="1"/>
      <c r="P66" s="1"/>
      <c r="Q66" s="1"/>
    </row>
    <row r="67" spans="1:17" s="9" customFormat="1" ht="38" customHeight="1">
      <c r="A67" s="398" t="s">
        <v>150</v>
      </c>
      <c r="B67" s="399"/>
      <c r="C67" s="83">
        <v>0.18806000116382401</v>
      </c>
      <c r="D67" s="84">
        <f t="shared" si="24"/>
        <v>5389.6439999999984</v>
      </c>
      <c r="E67" s="46">
        <f t="shared" si="25"/>
        <v>0.18806000116382401</v>
      </c>
      <c r="F67" s="333">
        <f t="shared" si="26"/>
        <v>6.3563635345255665E-2</v>
      </c>
      <c r="G67" s="333"/>
      <c r="H67" s="323"/>
      <c r="I67" s="324"/>
      <c r="M67" s="6"/>
      <c r="N67" s="6"/>
      <c r="O67" s="6"/>
      <c r="P67" s="6"/>
      <c r="Q67" s="6"/>
    </row>
    <row r="68" spans="1:17" s="9" customFormat="1" ht="38" customHeight="1" thickBot="1">
      <c r="A68" s="440" t="s">
        <v>127</v>
      </c>
      <c r="B68" s="441"/>
      <c r="C68" s="177">
        <v>4.1906367082084617E-2</v>
      </c>
      <c r="D68" s="178">
        <f t="shared" si="24"/>
        <v>1201.0018000000002</v>
      </c>
      <c r="E68" s="179">
        <f t="shared" si="25"/>
        <v>4.190636708208461E-2</v>
      </c>
      <c r="F68" s="331">
        <f t="shared" si="26"/>
        <v>1.4164208334390121E-2</v>
      </c>
      <c r="G68" s="331"/>
      <c r="H68" s="338"/>
      <c r="I68" s="339"/>
      <c r="M68" s="6"/>
      <c r="N68" s="6"/>
      <c r="O68" s="6"/>
      <c r="P68" s="6"/>
      <c r="Q68" s="6"/>
    </row>
    <row r="69" spans="1:17" s="1" customFormat="1" ht="21" customHeight="1">
      <c r="A69" s="392" t="s">
        <v>106</v>
      </c>
      <c r="B69" s="393"/>
      <c r="C69" s="81">
        <f>SUM(C62:C68)</f>
        <v>0.99999999999999989</v>
      </c>
      <c r="D69" s="180">
        <f>SUM(D62:D68)</f>
        <v>28659.172427128393</v>
      </c>
      <c r="E69" s="81">
        <f>SUM(E62:E68)</f>
        <v>0.99999999999999978</v>
      </c>
      <c r="F69" s="332">
        <f>SUM(F62:F68)</f>
        <v>0.33799656998770145</v>
      </c>
      <c r="G69" s="332"/>
      <c r="H69" s="340"/>
      <c r="I69" s="341"/>
      <c r="M69" s="8"/>
      <c r="N69" s="8"/>
      <c r="O69" s="8"/>
      <c r="P69" s="8"/>
      <c r="Q69" s="8"/>
    </row>
    <row r="70" spans="1:17" s="9" customFormat="1" ht="21" customHeight="1">
      <c r="A70" s="400" t="s">
        <v>19</v>
      </c>
      <c r="B70" s="401"/>
      <c r="C70" s="46">
        <f>D70/$D$13</f>
        <v>3.4453809604191643E-2</v>
      </c>
      <c r="D70" s="85">
        <f>D30</f>
        <v>2921.3837000000003</v>
      </c>
      <c r="E70" s="46">
        <f>+D70/$D$73</f>
        <v>5.2044759954720424E-2</v>
      </c>
      <c r="F70" s="333">
        <f>+D70/$C$74</f>
        <v>3.4453809604191643E-2</v>
      </c>
      <c r="G70" s="333"/>
      <c r="H70" s="342"/>
      <c r="I70" s="343"/>
    </row>
    <row r="71" spans="1:17" s="9" customFormat="1" ht="21" customHeight="1">
      <c r="A71" s="402" t="s">
        <v>7</v>
      </c>
      <c r="B71" s="403"/>
      <c r="C71" s="46">
        <f>D71/$D$13</f>
        <v>0.27930738540768513</v>
      </c>
      <c r="D71" s="85">
        <f>D24</f>
        <v>23682.839500000002</v>
      </c>
      <c r="E71" s="46">
        <f t="shared" ref="E71:E73" si="27">+D71/$D$73</f>
        <v>0.42191229341892716</v>
      </c>
      <c r="F71" s="333">
        <f>+D71/$C$74</f>
        <v>0.27930738540768513</v>
      </c>
      <c r="G71" s="333"/>
      <c r="H71" s="342"/>
      <c r="I71" s="343"/>
    </row>
    <row r="72" spans="1:17" s="9" customFormat="1" ht="21" customHeight="1">
      <c r="A72" s="404" t="s">
        <v>20</v>
      </c>
      <c r="B72" s="405"/>
      <c r="C72" s="46">
        <f>D72/$D$13</f>
        <v>0.34824223500042184</v>
      </c>
      <c r="D72" s="85">
        <f>D34+D17</f>
        <v>29527.915799999995</v>
      </c>
      <c r="E72" s="46">
        <f t="shared" si="27"/>
        <v>0.52604294662635243</v>
      </c>
      <c r="F72" s="333">
        <f>+D72/$C$74</f>
        <v>0.34824223500042184</v>
      </c>
      <c r="G72" s="333"/>
      <c r="H72" s="342"/>
      <c r="I72" s="343"/>
    </row>
    <row r="73" spans="1:17" s="11" customFormat="1" ht="21" customHeight="1">
      <c r="A73" s="309" t="s">
        <v>21</v>
      </c>
      <c r="B73" s="310"/>
      <c r="C73" s="86">
        <f>SUM(C70:C72)</f>
        <v>0.66200343001229855</v>
      </c>
      <c r="D73" s="87">
        <f>SUM(D70:D72)</f>
        <v>56132.138999999996</v>
      </c>
      <c r="E73" s="45">
        <f t="shared" si="27"/>
        <v>1</v>
      </c>
      <c r="F73" s="328">
        <f>+D73/$C$74</f>
        <v>0.66200343001229855</v>
      </c>
      <c r="G73" s="328"/>
      <c r="H73" s="342"/>
      <c r="I73" s="343"/>
      <c r="M73" s="9"/>
      <c r="N73" s="9"/>
      <c r="O73" s="9"/>
      <c r="P73" s="9"/>
      <c r="Q73" s="9"/>
    </row>
    <row r="74" spans="1:17" s="1" customFormat="1" ht="21" customHeight="1" thickBot="1">
      <c r="A74" s="406" t="s">
        <v>105</v>
      </c>
      <c r="B74" s="407"/>
      <c r="C74" s="330">
        <f>SUM(D73,D69)</f>
        <v>84791.311427128385</v>
      </c>
      <c r="D74" s="330"/>
      <c r="E74" s="330"/>
      <c r="F74" s="329">
        <f>+C74/$C$74</f>
        <v>1</v>
      </c>
      <c r="G74" s="329"/>
      <c r="H74" s="344" t="s">
        <v>178</v>
      </c>
      <c r="I74" s="345"/>
      <c r="M74" s="9"/>
      <c r="N74" s="9"/>
      <c r="O74" s="9"/>
      <c r="P74" s="9"/>
      <c r="Q74" s="9"/>
    </row>
    <row r="75" spans="1:17" s="6" customFormat="1">
      <c r="C75" s="327"/>
      <c r="D75" s="327"/>
      <c r="E75" s="327"/>
      <c r="G75" s="7"/>
      <c r="M75" s="9"/>
      <c r="N75" s="9"/>
      <c r="O75" s="9"/>
      <c r="P75" s="9"/>
      <c r="Q75" s="9"/>
    </row>
    <row r="76" spans="1:17" s="6" customFormat="1" ht="22" thickBot="1">
      <c r="M76" s="1"/>
      <c r="N76" s="1"/>
      <c r="O76" s="1"/>
      <c r="P76" s="1"/>
      <c r="Q76" s="1"/>
    </row>
    <row r="77" spans="1:17" s="1" customFormat="1" ht="22" thickBot="1">
      <c r="A77" s="385" t="s">
        <v>22</v>
      </c>
      <c r="B77" s="386"/>
      <c r="C77" s="386"/>
      <c r="D77" s="439"/>
      <c r="E77" s="386" t="s">
        <v>23</v>
      </c>
      <c r="F77" s="386"/>
      <c r="G77" s="386"/>
      <c r="H77" s="386"/>
      <c r="I77" s="387"/>
      <c r="L77" s="9"/>
      <c r="M77" s="9"/>
      <c r="N77" s="9"/>
      <c r="O77" s="9"/>
      <c r="P77" s="9"/>
    </row>
    <row r="78" spans="1:17" s="12" customFormat="1" ht="68">
      <c r="A78" s="375" t="s">
        <v>24</v>
      </c>
      <c r="B78" s="376"/>
      <c r="C78" s="143" t="s">
        <v>25</v>
      </c>
      <c r="D78" s="156" t="s">
        <v>26</v>
      </c>
      <c r="E78" s="157" t="s">
        <v>28</v>
      </c>
      <c r="F78" s="143" t="s">
        <v>27</v>
      </c>
      <c r="G78" s="144" t="s">
        <v>179</v>
      </c>
      <c r="H78" s="158" t="s">
        <v>180</v>
      </c>
      <c r="I78" s="159" t="s">
        <v>182</v>
      </c>
      <c r="M78" s="9"/>
      <c r="N78" s="9"/>
      <c r="O78" s="9"/>
    </row>
    <row r="79" spans="1:17" ht="38" customHeight="1">
      <c r="A79" s="383" t="s">
        <v>16</v>
      </c>
      <c r="B79" s="384"/>
      <c r="C79" s="35">
        <v>0.5</v>
      </c>
      <c r="D79" s="115">
        <v>10</v>
      </c>
      <c r="E79" s="121">
        <v>2.8</v>
      </c>
      <c r="F79" s="117">
        <f>I90</f>
        <v>498.30980526315801</v>
      </c>
      <c r="G79" s="123">
        <f>F79*E79</f>
        <v>1395.2674547368424</v>
      </c>
      <c r="H79" s="124">
        <f>D71</f>
        <v>23682.839500000002</v>
      </c>
      <c r="I79" s="126">
        <f>H79/G83</f>
        <v>3.2804732191441404</v>
      </c>
      <c r="M79" s="11"/>
      <c r="N79" s="11"/>
      <c r="O79" s="11"/>
    </row>
    <row r="80" spans="1:17" ht="38" customHeight="1">
      <c r="A80" s="377" t="s">
        <v>17</v>
      </c>
      <c r="B80" s="378"/>
      <c r="C80" s="35">
        <v>0.5</v>
      </c>
      <c r="D80" s="115">
        <v>10</v>
      </c>
      <c r="E80" s="121">
        <v>2.8</v>
      </c>
      <c r="F80" s="117">
        <f t="shared" ref="F80:F82" si="28">I91</f>
        <v>1304.9242541478236</v>
      </c>
      <c r="G80" s="123">
        <f>F80*E80</f>
        <v>3653.7879116139056</v>
      </c>
      <c r="H80" s="122" t="s">
        <v>181</v>
      </c>
      <c r="I80" s="125" t="s">
        <v>183</v>
      </c>
      <c r="M80" s="1"/>
      <c r="N80" s="1"/>
      <c r="O80" s="1"/>
    </row>
    <row r="81" spans="1:15" ht="38" customHeight="1">
      <c r="A81" s="379" t="s">
        <v>78</v>
      </c>
      <c r="B81" s="380"/>
      <c r="C81" s="35">
        <v>0.5</v>
      </c>
      <c r="D81" s="115">
        <v>10</v>
      </c>
      <c r="E81" s="121">
        <v>2.8</v>
      </c>
      <c r="F81" s="117">
        <f t="shared" si="28"/>
        <v>442.91448296471151</v>
      </c>
      <c r="G81" s="123">
        <f>F81*E81</f>
        <v>1240.1605523011922</v>
      </c>
      <c r="H81" s="124">
        <f>D70</f>
        <v>2921.3837000000003</v>
      </c>
      <c r="I81" s="126">
        <f>H81/G83</f>
        <v>0.40466097786518462</v>
      </c>
      <c r="M81" s="6"/>
      <c r="N81" s="6"/>
      <c r="O81" s="6"/>
    </row>
    <row r="82" spans="1:15" ht="38" customHeight="1" thickBot="1">
      <c r="A82" s="381" t="s">
        <v>79</v>
      </c>
      <c r="B82" s="382"/>
      <c r="C82" s="114">
        <v>0.5</v>
      </c>
      <c r="D82" s="116">
        <v>10</v>
      </c>
      <c r="E82" s="160">
        <v>2.8</v>
      </c>
      <c r="F82" s="161">
        <f t="shared" si="28"/>
        <v>332.1858622235336</v>
      </c>
      <c r="G82" s="162">
        <f>F82*E82</f>
        <v>930.12041422589402</v>
      </c>
      <c r="H82" s="163" t="s">
        <v>186</v>
      </c>
      <c r="I82" s="164" t="s">
        <v>184</v>
      </c>
      <c r="M82" s="6"/>
      <c r="N82" s="6"/>
      <c r="O82" s="6"/>
    </row>
    <row r="83" spans="1:15" ht="38" customHeight="1">
      <c r="A83" s="367" t="s">
        <v>18</v>
      </c>
      <c r="B83" s="368"/>
      <c r="C83" s="152">
        <v>0.5</v>
      </c>
      <c r="D83" s="153">
        <v>1</v>
      </c>
      <c r="E83" s="414" t="s">
        <v>32</v>
      </c>
      <c r="F83" s="416">
        <f>SUM(F79:F82)</f>
        <v>2578.3344045992267</v>
      </c>
      <c r="G83" s="416">
        <f>SUM(G79:G82)</f>
        <v>7219.3363328778341</v>
      </c>
      <c r="H83" s="154">
        <f>C97-D97</f>
        <v>14329.586213564196</v>
      </c>
      <c r="I83" s="155">
        <f>H83/G83</f>
        <v>1.9848896841535588</v>
      </c>
      <c r="L83" s="6"/>
      <c r="M83" s="6"/>
      <c r="N83" s="6"/>
      <c r="O83" s="6"/>
    </row>
    <row r="84" spans="1:15" ht="38" customHeight="1">
      <c r="A84" s="369" t="s">
        <v>150</v>
      </c>
      <c r="B84" s="370"/>
      <c r="C84" s="35">
        <v>0.5</v>
      </c>
      <c r="D84" s="115">
        <v>10</v>
      </c>
      <c r="E84" s="414"/>
      <c r="F84" s="416"/>
      <c r="G84" s="416"/>
      <c r="H84" s="122" t="s">
        <v>187</v>
      </c>
      <c r="I84" s="125" t="s">
        <v>185</v>
      </c>
      <c r="L84" s="1"/>
      <c r="M84" s="1"/>
      <c r="N84" s="1"/>
      <c r="O84" s="1"/>
    </row>
    <row r="85" spans="1:15" ht="38" customHeight="1" thickBot="1">
      <c r="A85" s="373" t="s">
        <v>127</v>
      </c>
      <c r="B85" s="374"/>
      <c r="C85" s="114">
        <v>0.5</v>
      </c>
      <c r="D85" s="116">
        <v>3.5</v>
      </c>
      <c r="E85" s="415"/>
      <c r="F85" s="417"/>
      <c r="G85" s="417"/>
      <c r="H85" s="127">
        <f>H79+H83</f>
        <v>38012.425713564196</v>
      </c>
      <c r="I85" s="128">
        <f>H85/G83</f>
        <v>5.2653629032976994</v>
      </c>
      <c r="L85" s="1"/>
      <c r="M85" s="1"/>
      <c r="N85" s="1"/>
      <c r="O85" s="1"/>
    </row>
    <row r="86" spans="1:15">
      <c r="A86" s="13"/>
      <c r="B86" s="13"/>
      <c r="C86" s="13"/>
      <c r="D86" s="14"/>
      <c r="M86" s="6"/>
      <c r="N86" s="6"/>
      <c r="O86" s="6"/>
    </row>
    <row r="87" spans="1:15" ht="17" thickBot="1">
      <c r="A87" s="13"/>
      <c r="B87" s="13"/>
      <c r="C87" s="13"/>
      <c r="D87" s="14"/>
      <c r="M87" s="12"/>
      <c r="N87" s="12"/>
      <c r="O87" s="12"/>
    </row>
    <row r="88" spans="1:15" ht="22" thickBot="1">
      <c r="A88" s="385" t="s">
        <v>29</v>
      </c>
      <c r="B88" s="386"/>
      <c r="C88" s="386"/>
      <c r="D88" s="386"/>
      <c r="E88" s="386"/>
      <c r="F88" s="386"/>
      <c r="G88" s="386"/>
      <c r="H88" s="386"/>
      <c r="I88" s="387"/>
    </row>
    <row r="89" spans="1:15" s="12" customFormat="1" ht="85">
      <c r="A89" s="375" t="s">
        <v>24</v>
      </c>
      <c r="B89" s="376"/>
      <c r="C89" s="143" t="s">
        <v>148</v>
      </c>
      <c r="D89" s="143" t="s">
        <v>149</v>
      </c>
      <c r="E89" s="143" t="s">
        <v>109</v>
      </c>
      <c r="F89" s="143" t="s">
        <v>30</v>
      </c>
      <c r="G89" s="144" t="s">
        <v>31</v>
      </c>
      <c r="H89" s="135" t="s">
        <v>189</v>
      </c>
      <c r="I89" s="136" t="s">
        <v>190</v>
      </c>
      <c r="M89" s="2"/>
      <c r="N89" s="2"/>
      <c r="O89" s="2"/>
    </row>
    <row r="90" spans="1:15" s="4" customFormat="1" ht="38" customHeight="1">
      <c r="A90" s="383" t="s">
        <v>16</v>
      </c>
      <c r="B90" s="384"/>
      <c r="C90" s="118">
        <f t="shared" ref="C90:C96" si="29">D62</f>
        <v>6311.9242000000022</v>
      </c>
      <c r="D90" s="119">
        <f>C79*C90</f>
        <v>3155.9621000000011</v>
      </c>
      <c r="E90" s="120">
        <f t="shared" ref="E90:E96" si="30">C90*D79</f>
        <v>63119.24200000002</v>
      </c>
      <c r="F90" s="129">
        <v>0.75</v>
      </c>
      <c r="G90" s="133">
        <f t="shared" ref="G90:G96" si="31">E90/D90</f>
        <v>20</v>
      </c>
      <c r="H90" s="137">
        <v>95</v>
      </c>
      <c r="I90" s="132">
        <f>+(E90*F90)/H90</f>
        <v>498.30980526315801</v>
      </c>
    </row>
    <row r="91" spans="1:15" s="4" customFormat="1" ht="38" customHeight="1">
      <c r="A91" s="377" t="s">
        <v>17</v>
      </c>
      <c r="B91" s="378"/>
      <c r="C91" s="118">
        <f t="shared" si="29"/>
        <v>11744.318287330412</v>
      </c>
      <c r="D91" s="119">
        <f>C80*C91</f>
        <v>5872.1591436652061</v>
      </c>
      <c r="E91" s="120">
        <f t="shared" si="30"/>
        <v>117443.18287330412</v>
      </c>
      <c r="F91" s="129">
        <v>0.8</v>
      </c>
      <c r="G91" s="133">
        <f t="shared" si="31"/>
        <v>20</v>
      </c>
      <c r="H91" s="137">
        <v>72</v>
      </c>
      <c r="I91" s="132">
        <f t="shared" ref="I91:I93" si="32">+(E91*F91)/H91</f>
        <v>1304.9242541478236</v>
      </c>
    </row>
    <row r="92" spans="1:15" s="4" customFormat="1" ht="38" customHeight="1">
      <c r="A92" s="379" t="s">
        <v>78</v>
      </c>
      <c r="B92" s="380"/>
      <c r="C92" s="118">
        <f t="shared" si="29"/>
        <v>2292.7337941702713</v>
      </c>
      <c r="D92" s="119">
        <f>C81*C92</f>
        <v>1146.3668970851356</v>
      </c>
      <c r="E92" s="120">
        <f t="shared" si="30"/>
        <v>22927.337941702714</v>
      </c>
      <c r="F92" s="129">
        <v>0.85</v>
      </c>
      <c r="G92" s="133">
        <f t="shared" si="31"/>
        <v>20</v>
      </c>
      <c r="H92" s="137">
        <v>44</v>
      </c>
      <c r="I92" s="132">
        <f t="shared" si="32"/>
        <v>442.91448296471151</v>
      </c>
    </row>
    <row r="93" spans="1:15" s="4" customFormat="1" ht="38" customHeight="1" thickBot="1">
      <c r="A93" s="381" t="s">
        <v>79</v>
      </c>
      <c r="B93" s="382"/>
      <c r="C93" s="145">
        <f t="shared" si="29"/>
        <v>1719.5503456277033</v>
      </c>
      <c r="D93" s="146">
        <f>C82*C93</f>
        <v>859.77517281385167</v>
      </c>
      <c r="E93" s="147">
        <f t="shared" si="30"/>
        <v>17195.503456277034</v>
      </c>
      <c r="F93" s="148">
        <v>0.85</v>
      </c>
      <c r="G93" s="149">
        <f t="shared" si="31"/>
        <v>20</v>
      </c>
      <c r="H93" s="150">
        <v>44</v>
      </c>
      <c r="I93" s="151">
        <f t="shared" si="32"/>
        <v>332.1858622235336</v>
      </c>
    </row>
    <row r="94" spans="1:15" s="4" customFormat="1" ht="38" customHeight="1">
      <c r="A94" s="367" t="s">
        <v>18</v>
      </c>
      <c r="B94" s="368"/>
      <c r="C94" s="138">
        <f t="shared" si="29"/>
        <v>0</v>
      </c>
      <c r="D94" s="139"/>
      <c r="E94" s="140">
        <f t="shared" si="30"/>
        <v>0</v>
      </c>
      <c r="F94" s="141"/>
      <c r="G94" s="142"/>
      <c r="H94" s="388" t="s">
        <v>32</v>
      </c>
      <c r="I94" s="390">
        <f ca="1">SUM(I90:I96)</f>
        <v>2578.3344045992267</v>
      </c>
    </row>
    <row r="95" spans="1:15" s="4" customFormat="1" ht="38" customHeight="1">
      <c r="A95" s="369" t="s">
        <v>150</v>
      </c>
      <c r="B95" s="370"/>
      <c r="C95" s="118">
        <f t="shared" si="29"/>
        <v>5389.6439999999984</v>
      </c>
      <c r="D95" s="119">
        <f>C84*C95</f>
        <v>2694.8219999999992</v>
      </c>
      <c r="E95" s="120">
        <f t="shared" si="30"/>
        <v>53896.439999999988</v>
      </c>
      <c r="F95" s="129">
        <v>0.7</v>
      </c>
      <c r="G95" s="133">
        <f t="shared" si="31"/>
        <v>20</v>
      </c>
      <c r="H95" s="388"/>
      <c r="I95" s="390"/>
    </row>
    <row r="96" spans="1:15" s="4" customFormat="1" ht="38" customHeight="1" thickBot="1">
      <c r="A96" s="373" t="s">
        <v>127</v>
      </c>
      <c r="B96" s="374"/>
      <c r="C96" s="118">
        <f t="shared" si="29"/>
        <v>1201.0018000000002</v>
      </c>
      <c r="D96" s="119">
        <f>C85*C96</f>
        <v>600.50090000000012</v>
      </c>
      <c r="E96" s="120">
        <f t="shared" si="30"/>
        <v>4203.5063000000009</v>
      </c>
      <c r="F96" s="129">
        <v>0.7</v>
      </c>
      <c r="G96" s="133">
        <f t="shared" si="31"/>
        <v>7</v>
      </c>
      <c r="H96" s="388"/>
      <c r="I96" s="390"/>
    </row>
    <row r="97" spans="1:17" s="4" customFormat="1" ht="22" thickBot="1">
      <c r="A97" s="371" t="s">
        <v>32</v>
      </c>
      <c r="B97" s="372"/>
      <c r="C97" s="130">
        <f>SUM(C90:C96)</f>
        <v>28659.172427128393</v>
      </c>
      <c r="D97" s="130">
        <f t="shared" ref="D97:E97" si="33">SUM(D90:D96)</f>
        <v>14329.586213564196</v>
      </c>
      <c r="E97" s="130">
        <f t="shared" si="33"/>
        <v>278785.21257128392</v>
      </c>
      <c r="F97" s="131"/>
      <c r="G97" s="134"/>
      <c r="H97" s="389"/>
      <c r="I97" s="391"/>
    </row>
    <row r="98" spans="1:17">
      <c r="M98" s="12"/>
      <c r="N98" s="12"/>
      <c r="O98" s="12"/>
      <c r="P98" s="12"/>
      <c r="Q98" s="12"/>
    </row>
    <row r="100" spans="1:17">
      <c r="D100" s="43"/>
    </row>
    <row r="101" spans="1:17">
      <c r="D101" s="67"/>
    </row>
    <row r="102" spans="1:17">
      <c r="D102" s="67"/>
    </row>
  </sheetData>
  <mergeCells count="134">
    <mergeCell ref="E77:I77"/>
    <mergeCell ref="E83:E85"/>
    <mergeCell ref="F83:F85"/>
    <mergeCell ref="G83:G85"/>
    <mergeCell ref="A1:I1"/>
    <mergeCell ref="H2:I2"/>
    <mergeCell ref="H3:I12"/>
    <mergeCell ref="H13:I21"/>
    <mergeCell ref="H22:I45"/>
    <mergeCell ref="H46:I54"/>
    <mergeCell ref="H55:I57"/>
    <mergeCell ref="A60:I60"/>
    <mergeCell ref="H61:I61"/>
    <mergeCell ref="A84:B84"/>
    <mergeCell ref="A65:B65"/>
    <mergeCell ref="A74:B74"/>
    <mergeCell ref="A77:D77"/>
    <mergeCell ref="A78:B78"/>
    <mergeCell ref="A79:B79"/>
    <mergeCell ref="A80:B80"/>
    <mergeCell ref="A81:B81"/>
    <mergeCell ref="A83:B83"/>
    <mergeCell ref="A68:B68"/>
    <mergeCell ref="A82:B82"/>
    <mergeCell ref="A67:B67"/>
    <mergeCell ref="A69:B69"/>
    <mergeCell ref="A70:B70"/>
    <mergeCell ref="A71:B71"/>
    <mergeCell ref="A72:B72"/>
    <mergeCell ref="A43:C43"/>
    <mergeCell ref="A42:C42"/>
    <mergeCell ref="A56:B56"/>
    <mergeCell ref="A49:C49"/>
    <mergeCell ref="A57:B57"/>
    <mergeCell ref="C55:C57"/>
    <mergeCell ref="A52:C52"/>
    <mergeCell ref="A53:C53"/>
    <mergeCell ref="A54:C54"/>
    <mergeCell ref="A55:B55"/>
    <mergeCell ref="A51:C51"/>
    <mergeCell ref="A46:C46"/>
    <mergeCell ref="A45:C45"/>
    <mergeCell ref="A44:C44"/>
    <mergeCell ref="A22:C22"/>
    <mergeCell ref="A23:C23"/>
    <mergeCell ref="A40:C40"/>
    <mergeCell ref="A30:C30"/>
    <mergeCell ref="A31:C31"/>
    <mergeCell ref="A32:C32"/>
    <mergeCell ref="A2:C2"/>
    <mergeCell ref="A8:C8"/>
    <mergeCell ref="A9:C9"/>
    <mergeCell ref="A13:C13"/>
    <mergeCell ref="A3:C3"/>
    <mergeCell ref="A5:C5"/>
    <mergeCell ref="A6:C6"/>
    <mergeCell ref="A7:C7"/>
    <mergeCell ref="A4:C4"/>
    <mergeCell ref="A33:C33"/>
    <mergeCell ref="A38:C38"/>
    <mergeCell ref="A39:C39"/>
    <mergeCell ref="A35:C35"/>
    <mergeCell ref="A36:C36"/>
    <mergeCell ref="A17:C17"/>
    <mergeCell ref="A94:B94"/>
    <mergeCell ref="A95:B95"/>
    <mergeCell ref="A97:B97"/>
    <mergeCell ref="A96:B96"/>
    <mergeCell ref="A85:B85"/>
    <mergeCell ref="A89:B89"/>
    <mergeCell ref="A91:B91"/>
    <mergeCell ref="A92:B92"/>
    <mergeCell ref="A93:B93"/>
    <mergeCell ref="A90:B90"/>
    <mergeCell ref="A88:I88"/>
    <mergeCell ref="H94:H97"/>
    <mergeCell ref="I94:I97"/>
    <mergeCell ref="F3:F12"/>
    <mergeCell ref="G3:G21"/>
    <mergeCell ref="A18:C18"/>
    <mergeCell ref="A19:C19"/>
    <mergeCell ref="A50:C50"/>
    <mergeCell ref="A25:C25"/>
    <mergeCell ref="A26:C26"/>
    <mergeCell ref="A27:C27"/>
    <mergeCell ref="A28:C28"/>
    <mergeCell ref="A29:C29"/>
    <mergeCell ref="A10:C10"/>
    <mergeCell ref="A12:C12"/>
    <mergeCell ref="A11:C11"/>
    <mergeCell ref="A24:C24"/>
    <mergeCell ref="A20:C20"/>
    <mergeCell ref="A21:C21"/>
    <mergeCell ref="A47:C47"/>
    <mergeCell ref="A48:C48"/>
    <mergeCell ref="A37:C37"/>
    <mergeCell ref="A34:C34"/>
    <mergeCell ref="A14:C14"/>
    <mergeCell ref="A15:C15"/>
    <mergeCell ref="A16:C16"/>
    <mergeCell ref="A41:C41"/>
    <mergeCell ref="F57:G57"/>
    <mergeCell ref="F61:G61"/>
    <mergeCell ref="F62:G62"/>
    <mergeCell ref="D52:G52"/>
    <mergeCell ref="D53:G53"/>
    <mergeCell ref="D54:G54"/>
    <mergeCell ref="F55:G55"/>
    <mergeCell ref="F56:G56"/>
    <mergeCell ref="E55:E57"/>
    <mergeCell ref="A73:B73"/>
    <mergeCell ref="A61:B61"/>
    <mergeCell ref="A62:B62"/>
    <mergeCell ref="A63:B63"/>
    <mergeCell ref="A64:B64"/>
    <mergeCell ref="A66:B66"/>
    <mergeCell ref="H62:I65"/>
    <mergeCell ref="C75:E75"/>
    <mergeCell ref="F73:G73"/>
    <mergeCell ref="F74:G74"/>
    <mergeCell ref="C74:E74"/>
    <mergeCell ref="F68:G68"/>
    <mergeCell ref="F69:G69"/>
    <mergeCell ref="F70:G70"/>
    <mergeCell ref="F71:G71"/>
    <mergeCell ref="F72:G72"/>
    <mergeCell ref="F63:G63"/>
    <mergeCell ref="F64:G64"/>
    <mergeCell ref="F65:G65"/>
    <mergeCell ref="F66:G66"/>
    <mergeCell ref="F67:G67"/>
    <mergeCell ref="H66:I68"/>
    <mergeCell ref="H69:I73"/>
    <mergeCell ref="H74:I74"/>
  </mergeCells>
  <phoneticPr fontId="20" type="noConversion"/>
  <pageMargins left="0.7" right="0.7" top="0.75" bottom="0.75" header="0.3" footer="0.3"/>
  <pageSetup paperSize="9" orientation="portrait" horizontalDpi="4294967292"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66D63-354F-1D4C-9C8F-4AB2EAA76074}">
  <sheetPr>
    <tabColor theme="4" tint="0.79998168889431442"/>
  </sheetPr>
  <dimension ref="A1:Q140"/>
  <sheetViews>
    <sheetView topLeftCell="A98" zoomScale="122" zoomScaleNormal="10" workbookViewId="0">
      <selection activeCell="L136" sqref="L136"/>
    </sheetView>
  </sheetViews>
  <sheetFormatPr baseColWidth="10" defaultColWidth="10.83203125" defaultRowHeight="16"/>
  <cols>
    <col min="1" max="1" width="16.6640625" style="2" customWidth="1"/>
    <col min="2" max="2" width="20.33203125" style="2" bestFit="1" customWidth="1"/>
    <col min="3" max="3" width="18.83203125" style="2" bestFit="1" customWidth="1"/>
    <col min="4" max="4" width="20.83203125" style="2" customWidth="1"/>
    <col min="5" max="6" width="21.6640625" style="2" customWidth="1"/>
    <col min="7" max="7" width="20.5" style="2" customWidth="1"/>
    <col min="8" max="8" width="21.83203125" style="2" customWidth="1"/>
    <col min="9" max="9" width="20.6640625" style="2" customWidth="1"/>
    <col min="10" max="10" width="16.5" style="2" bestFit="1" customWidth="1"/>
    <col min="11" max="11" width="17.6640625" style="2" bestFit="1" customWidth="1"/>
    <col min="12" max="12" width="20" style="2" bestFit="1" customWidth="1"/>
    <col min="13" max="13" width="19" style="2" bestFit="1" customWidth="1"/>
    <col min="14" max="14" width="15.83203125" style="2" customWidth="1"/>
    <col min="15" max="15" width="11.6640625" style="2" bestFit="1" customWidth="1"/>
    <col min="16" max="16" width="20.1640625" style="2" bestFit="1" customWidth="1"/>
    <col min="17" max="17" width="17.33203125" style="2" bestFit="1" customWidth="1"/>
    <col min="18" max="16384" width="10.83203125" style="2"/>
  </cols>
  <sheetData>
    <row r="1" spans="1:17" ht="17" thickBot="1"/>
    <row r="2" spans="1:17" ht="24">
      <c r="A2" s="448" t="s">
        <v>191</v>
      </c>
      <c r="B2" s="449"/>
      <c r="C2" s="449"/>
      <c r="D2" s="449"/>
      <c r="E2" s="449"/>
      <c r="F2" s="449"/>
      <c r="G2" s="449"/>
      <c r="H2" s="450"/>
      <c r="I2" s="15"/>
      <c r="J2" s="15"/>
      <c r="K2" s="15"/>
      <c r="L2" s="15"/>
      <c r="M2" s="15"/>
      <c r="N2" s="15"/>
      <c r="O2" s="15"/>
      <c r="P2" s="15"/>
      <c r="Q2" s="15"/>
    </row>
    <row r="3" spans="1:17" s="19" customFormat="1" ht="85">
      <c r="A3" s="246" t="s">
        <v>139</v>
      </c>
      <c r="B3" s="94" t="s">
        <v>192</v>
      </c>
      <c r="C3" s="66" t="s">
        <v>193</v>
      </c>
      <c r="D3" s="94" t="s">
        <v>135</v>
      </c>
      <c r="E3" s="94" t="s">
        <v>136</v>
      </c>
      <c r="F3" s="94" t="s">
        <v>137</v>
      </c>
      <c r="G3" s="94" t="s">
        <v>204</v>
      </c>
      <c r="H3" s="202" t="s">
        <v>138</v>
      </c>
      <c r="I3" s="273">
        <v>8.5962865267053157E-2</v>
      </c>
      <c r="J3" s="18"/>
      <c r="K3" s="18"/>
      <c r="L3" s="18"/>
      <c r="M3" s="18"/>
      <c r="N3" s="18"/>
    </row>
    <row r="4" spans="1:17" ht="16" customHeight="1">
      <c r="A4" s="203" t="s">
        <v>36</v>
      </c>
      <c r="B4" s="191">
        <v>3966.4029</v>
      </c>
      <c r="C4" s="20">
        <f t="shared" ref="C4:C16" si="0">B4/B$17</f>
        <v>6.9677625731439305E-2</v>
      </c>
      <c r="D4" s="186">
        <v>2022993</v>
      </c>
      <c r="E4" s="186">
        <v>3100000</v>
      </c>
      <c r="F4" s="197">
        <f t="shared" ref="F4:F16" si="1">B4*E4</f>
        <v>12295848990</v>
      </c>
      <c r="G4" s="197">
        <f>F4*$I$3</f>
        <v>1056986410.0714016</v>
      </c>
      <c r="H4" s="204">
        <f t="shared" ref="H4:H16" si="2">F4/F$17</f>
        <v>7.0416358507130114E-2</v>
      </c>
      <c r="I4" s="16"/>
      <c r="J4" s="16"/>
      <c r="K4" s="16"/>
      <c r="L4" s="16"/>
      <c r="M4" s="16"/>
      <c r="N4" s="16"/>
    </row>
    <row r="5" spans="1:17" ht="16" customHeight="1">
      <c r="A5" s="203" t="s">
        <v>41</v>
      </c>
      <c r="B5" s="192">
        <v>6809.9426000000003</v>
      </c>
      <c r="C5" s="20">
        <f t="shared" si="0"/>
        <v>0.11962996289040247</v>
      </c>
      <c r="D5" s="186">
        <v>1789227</v>
      </c>
      <c r="E5" s="186">
        <v>3100000</v>
      </c>
      <c r="F5" s="197">
        <f t="shared" si="1"/>
        <v>21110822060</v>
      </c>
      <c r="G5" s="197">
        <f t="shared" ref="G5:G16" si="3">F5*$I$3</f>
        <v>1814746752.4205136</v>
      </c>
      <c r="H5" s="204">
        <f t="shared" si="2"/>
        <v>0.12089829793503271</v>
      </c>
      <c r="I5" s="16"/>
      <c r="J5" s="16"/>
      <c r="K5" s="16"/>
      <c r="L5" s="16"/>
      <c r="M5" s="16"/>
      <c r="N5" s="16"/>
    </row>
    <row r="6" spans="1:17" ht="16" customHeight="1">
      <c r="A6" s="203" t="s">
        <v>42</v>
      </c>
      <c r="B6" s="191">
        <v>6612.3395</v>
      </c>
      <c r="C6" s="20">
        <f t="shared" si="0"/>
        <v>0.11615867790188751</v>
      </c>
      <c r="D6" s="186">
        <v>2009944</v>
      </c>
      <c r="E6" s="186">
        <v>3100000</v>
      </c>
      <c r="F6" s="197">
        <f t="shared" si="1"/>
        <v>20498252450</v>
      </c>
      <c r="G6" s="197">
        <f t="shared" si="3"/>
        <v>1762088513.5693922</v>
      </c>
      <c r="H6" s="204">
        <f t="shared" si="2"/>
        <v>0.11739020985559925</v>
      </c>
      <c r="I6" s="16"/>
      <c r="J6" s="16"/>
      <c r="K6" s="16"/>
      <c r="L6" s="16"/>
      <c r="M6" s="16"/>
      <c r="N6" s="16"/>
    </row>
    <row r="7" spans="1:17" ht="16" customHeight="1">
      <c r="A7" s="203" t="s">
        <v>43</v>
      </c>
      <c r="B7" s="191">
        <v>3432.3975</v>
      </c>
      <c r="C7" s="20">
        <f t="shared" si="0"/>
        <v>6.0296776297367051E-2</v>
      </c>
      <c r="D7" s="186">
        <v>1978116</v>
      </c>
      <c r="E7" s="186">
        <v>2800000</v>
      </c>
      <c r="F7" s="197">
        <f t="shared" si="1"/>
        <v>9610713000</v>
      </c>
      <c r="G7" s="197">
        <f t="shared" si="3"/>
        <v>826164426.73931623</v>
      </c>
      <c r="H7" s="204">
        <f t="shared" si="2"/>
        <v>5.503901460301977E-2</v>
      </c>
      <c r="I7" s="16"/>
      <c r="J7" s="16"/>
      <c r="K7" s="16"/>
      <c r="L7" s="16"/>
      <c r="M7" s="16"/>
      <c r="N7" s="16"/>
    </row>
    <row r="8" spans="1:17" ht="16" customHeight="1">
      <c r="A8" s="203" t="s">
        <v>44</v>
      </c>
      <c r="B8" s="191">
        <v>1498.0396000000001</v>
      </c>
      <c r="C8" s="20">
        <f t="shared" si="0"/>
        <v>2.6315995931647553E-2</v>
      </c>
      <c r="D8" s="186">
        <v>1698314</v>
      </c>
      <c r="E8" s="186">
        <v>2800000</v>
      </c>
      <c r="F8" s="197">
        <f t="shared" si="1"/>
        <v>4194510880</v>
      </c>
      <c r="G8" s="197">
        <f t="shared" si="3"/>
        <v>360572173.63862854</v>
      </c>
      <c r="H8" s="204">
        <f t="shared" si="2"/>
        <v>2.4021292236782569E-2</v>
      </c>
      <c r="I8" s="16"/>
      <c r="J8" s="16"/>
      <c r="K8" s="16"/>
      <c r="L8" s="16"/>
      <c r="M8" s="16"/>
      <c r="N8" s="16"/>
    </row>
    <row r="9" spans="1:17" ht="16" customHeight="1">
      <c r="A9" s="203" t="s">
        <v>35</v>
      </c>
      <c r="B9" s="191">
        <v>3401.7082999999998</v>
      </c>
      <c r="C9" s="20">
        <f t="shared" si="0"/>
        <v>5.9757660467354604E-2</v>
      </c>
      <c r="D9" s="186">
        <v>1707594</v>
      </c>
      <c r="E9" s="186">
        <v>2800000</v>
      </c>
      <c r="F9" s="197">
        <f t="shared" si="1"/>
        <v>9524783240</v>
      </c>
      <c r="G9" s="197">
        <f t="shared" si="3"/>
        <v>818777658.358006</v>
      </c>
      <c r="H9" s="204">
        <f t="shared" si="2"/>
        <v>5.4546908625505514E-2</v>
      </c>
      <c r="I9" s="16"/>
      <c r="J9" s="69"/>
      <c r="K9" s="16"/>
      <c r="L9" s="16"/>
      <c r="M9" s="16"/>
      <c r="N9" s="16"/>
    </row>
    <row r="10" spans="1:17" ht="16" customHeight="1">
      <c r="A10" s="203" t="s">
        <v>39</v>
      </c>
      <c r="B10" s="191">
        <v>1254.4893</v>
      </c>
      <c r="C10" s="20">
        <f t="shared" si="0"/>
        <v>2.2037558496514634E-2</v>
      </c>
      <c r="D10" s="186">
        <v>1602832</v>
      </c>
      <c r="E10" s="186">
        <v>2800000</v>
      </c>
      <c r="F10" s="197">
        <f t="shared" si="1"/>
        <v>3512570040</v>
      </c>
      <c r="G10" s="197">
        <f t="shared" si="3"/>
        <v>301950585.08960754</v>
      </c>
      <c r="H10" s="204">
        <f t="shared" si="2"/>
        <v>2.0115926229998724E-2</v>
      </c>
      <c r="I10" s="16"/>
      <c r="J10" s="16"/>
      <c r="K10" s="16"/>
      <c r="L10" s="16"/>
      <c r="M10" s="16"/>
      <c r="N10" s="16"/>
    </row>
    <row r="11" spans="1:17" ht="16" customHeight="1">
      <c r="A11" s="203" t="s">
        <v>40</v>
      </c>
      <c r="B11" s="191">
        <v>4801.7397000000001</v>
      </c>
      <c r="C11" s="20">
        <f t="shared" si="0"/>
        <v>8.4351950649389065E-2</v>
      </c>
      <c r="D11" s="186">
        <v>1625478</v>
      </c>
      <c r="E11" s="186">
        <v>2800000</v>
      </c>
      <c r="F11" s="197">
        <f t="shared" si="1"/>
        <v>13444871160</v>
      </c>
      <c r="G11" s="197">
        <f t="shared" si="3"/>
        <v>1155759648.0599687</v>
      </c>
      <c r="H11" s="204">
        <f t="shared" si="2"/>
        <v>7.6996624507563532E-2</v>
      </c>
      <c r="I11" s="16"/>
      <c r="J11" s="16"/>
      <c r="K11" s="16"/>
      <c r="L11" s="16"/>
      <c r="M11" s="16"/>
      <c r="N11" s="16"/>
    </row>
    <row r="12" spans="1:17" ht="16" customHeight="1" thickBot="1">
      <c r="A12" s="205" t="s">
        <v>38</v>
      </c>
      <c r="B12" s="193">
        <v>9875.1597000000002</v>
      </c>
      <c r="C12" s="57">
        <f t="shared" si="0"/>
        <v>0.17347649720979996</v>
      </c>
      <c r="D12" s="187">
        <v>1897469</v>
      </c>
      <c r="E12" s="187">
        <v>3100000</v>
      </c>
      <c r="F12" s="198">
        <f t="shared" si="1"/>
        <v>30612995070</v>
      </c>
      <c r="G12" s="197">
        <f t="shared" si="3"/>
        <v>2631580770.6233726</v>
      </c>
      <c r="H12" s="206">
        <f t="shared" si="2"/>
        <v>0.17531572139339738</v>
      </c>
      <c r="I12" s="16"/>
      <c r="J12" s="16"/>
      <c r="K12" s="16"/>
      <c r="L12" s="16"/>
      <c r="M12" s="16"/>
      <c r="N12" s="16"/>
    </row>
    <row r="13" spans="1:17" ht="16" customHeight="1">
      <c r="A13" s="58" t="s">
        <v>33</v>
      </c>
      <c r="B13" s="194">
        <v>3153.5801999999999</v>
      </c>
      <c r="C13" s="59">
        <f t="shared" si="0"/>
        <v>5.5398805020457582E-2</v>
      </c>
      <c r="D13" s="188">
        <v>1990393</v>
      </c>
      <c r="E13" s="188">
        <v>3300000</v>
      </c>
      <c r="F13" s="199">
        <f t="shared" si="1"/>
        <v>10406814660</v>
      </c>
      <c r="G13" s="199">
        <f t="shared" si="3"/>
        <v>894599606.47677362</v>
      </c>
      <c r="H13" s="207">
        <f t="shared" si="2"/>
        <v>5.9598161347931236E-2</v>
      </c>
      <c r="I13" s="16"/>
      <c r="J13" s="16"/>
      <c r="K13" s="16"/>
      <c r="L13" s="16"/>
      <c r="M13" s="16"/>
    </row>
    <row r="14" spans="1:17" ht="16" customHeight="1">
      <c r="A14" s="60" t="s">
        <v>34</v>
      </c>
      <c r="B14" s="195">
        <v>2946.8240000000001</v>
      </c>
      <c r="C14" s="61">
        <f t="shared" si="0"/>
        <v>5.1766727925804737E-2</v>
      </c>
      <c r="D14" s="189">
        <v>1991348</v>
      </c>
      <c r="E14" s="189">
        <v>3100000</v>
      </c>
      <c r="F14" s="200">
        <f t="shared" si="1"/>
        <v>9135154400</v>
      </c>
      <c r="G14" s="200">
        <f t="shared" si="3"/>
        <v>785284046.8809278</v>
      </c>
      <c r="H14" s="208">
        <f t="shared" si="2"/>
        <v>5.2315566641355365E-2</v>
      </c>
      <c r="I14" s="16"/>
      <c r="J14" s="16"/>
      <c r="K14" s="16"/>
      <c r="L14" s="16"/>
      <c r="M14" s="16"/>
    </row>
    <row r="15" spans="1:17" ht="16" customHeight="1">
      <c r="A15" s="60" t="s">
        <v>37</v>
      </c>
      <c r="B15" s="195">
        <v>3740.0248999999999</v>
      </c>
      <c r="C15" s="61">
        <f t="shared" si="0"/>
        <v>6.5700853337028298E-2</v>
      </c>
      <c r="D15" s="189">
        <v>1770373</v>
      </c>
      <c r="E15" s="189">
        <v>3300000</v>
      </c>
      <c r="F15" s="200">
        <f t="shared" si="1"/>
        <v>12342082170</v>
      </c>
      <c r="G15" s="200">
        <f t="shared" si="3"/>
        <v>1060960746.694609</v>
      </c>
      <c r="H15" s="208">
        <f t="shared" si="2"/>
        <v>7.0681128526707646E-2</v>
      </c>
      <c r="I15" s="16"/>
      <c r="J15" s="16"/>
      <c r="K15" s="16"/>
      <c r="L15" s="16"/>
      <c r="M15" s="16"/>
    </row>
    <row r="16" spans="1:17" ht="16" customHeight="1" thickBot="1">
      <c r="A16" s="62" t="s">
        <v>45</v>
      </c>
      <c r="B16" s="196">
        <v>5432.41</v>
      </c>
      <c r="C16" s="63">
        <f t="shared" si="0"/>
        <v>9.5430908140907267E-2</v>
      </c>
      <c r="D16" s="190">
        <v>2335989</v>
      </c>
      <c r="E16" s="190">
        <v>3300000</v>
      </c>
      <c r="F16" s="201">
        <f t="shared" si="1"/>
        <v>17926953000</v>
      </c>
      <c r="G16" s="201">
        <f t="shared" si="3"/>
        <v>1541052245.3877945</v>
      </c>
      <c r="H16" s="209">
        <f t="shared" si="2"/>
        <v>0.10266478958997621</v>
      </c>
      <c r="I16" s="16"/>
      <c r="J16" s="16"/>
      <c r="K16" s="16"/>
      <c r="L16" s="16"/>
      <c r="M16" s="16"/>
    </row>
    <row r="17" spans="1:17" s="4" customFormat="1" ht="20" thickBot="1">
      <c r="A17" s="210" t="s">
        <v>46</v>
      </c>
      <c r="B17" s="211">
        <f t="shared" ref="B17" si="4">SUM(B4:B16)</f>
        <v>56925.058199999999</v>
      </c>
      <c r="C17" s="212">
        <f>SUM(C13:C16)</f>
        <v>0.26829729442419792</v>
      </c>
      <c r="D17" s="213"/>
      <c r="E17" s="213"/>
      <c r="F17" s="214">
        <f>SUM(F4:F16)</f>
        <v>174616371120</v>
      </c>
      <c r="G17" s="214">
        <f>SUM(G4:G16)</f>
        <v>15010523584.010313</v>
      </c>
      <c r="H17" s="215">
        <f>SUM(H13:H16)</f>
        <v>0.28525964610597043</v>
      </c>
    </row>
    <row r="18" spans="1:17" ht="17" thickBot="1">
      <c r="A18" s="51"/>
      <c r="B18" s="52"/>
      <c r="C18" s="53"/>
      <c r="D18" s="54"/>
      <c r="E18" s="54"/>
      <c r="F18" s="55"/>
      <c r="G18" s="55"/>
      <c r="H18" s="53"/>
    </row>
    <row r="19" spans="1:17" ht="24">
      <c r="A19" s="448" t="s">
        <v>194</v>
      </c>
      <c r="B19" s="449"/>
      <c r="C19" s="449"/>
      <c r="D19" s="449"/>
      <c r="E19" s="449"/>
      <c r="F19" s="449"/>
      <c r="G19" s="449"/>
      <c r="H19" s="449"/>
      <c r="I19" s="449"/>
      <c r="J19" s="450"/>
      <c r="K19" s="15"/>
      <c r="L19" s="15"/>
      <c r="M19" s="15"/>
      <c r="N19" s="15"/>
      <c r="O19" s="15"/>
      <c r="P19" s="15"/>
      <c r="Q19" s="15"/>
    </row>
    <row r="20" spans="1:17" s="19" customFormat="1" ht="68">
      <c r="A20" s="246" t="s">
        <v>139</v>
      </c>
      <c r="B20" s="248" t="s">
        <v>128</v>
      </c>
      <c r="C20" s="94" t="s">
        <v>134</v>
      </c>
      <c r="D20" s="94" t="s">
        <v>144</v>
      </c>
      <c r="E20" s="94" t="s">
        <v>145</v>
      </c>
      <c r="F20" s="94" t="s">
        <v>146</v>
      </c>
      <c r="G20" s="66" t="s">
        <v>140</v>
      </c>
      <c r="H20" s="94" t="s">
        <v>141</v>
      </c>
      <c r="I20" s="94" t="s">
        <v>142</v>
      </c>
      <c r="J20" s="202" t="s">
        <v>143</v>
      </c>
      <c r="K20" s="18"/>
      <c r="L20" s="18"/>
      <c r="M20" s="18"/>
      <c r="N20" s="18"/>
      <c r="O20" s="18"/>
      <c r="P20" s="18"/>
    </row>
    <row r="21" spans="1:17" ht="16" customHeight="1">
      <c r="A21" s="203" t="s">
        <v>36</v>
      </c>
      <c r="B21" s="491" t="s">
        <v>163</v>
      </c>
      <c r="C21" s="192">
        <v>2799.027</v>
      </c>
      <c r="D21" s="466">
        <f>SUM(C21:C23)</f>
        <v>9682.0877999999993</v>
      </c>
      <c r="E21" s="466">
        <f>F21-D21</f>
        <v>2797.5019000000011</v>
      </c>
      <c r="F21" s="466">
        <f>'Cuadro General'!D47</f>
        <v>12479.5897</v>
      </c>
      <c r="G21" s="492">
        <f>F21/F30</f>
        <v>0.43544835669506832</v>
      </c>
      <c r="H21" s="197">
        <f t="shared" ref="H21:H29" si="5">C21*E4</f>
        <v>8676983700</v>
      </c>
      <c r="I21" s="462">
        <f>SUM(H21:H23)</f>
        <v>30014472180</v>
      </c>
      <c r="J21" s="488">
        <f>I21/I$30</f>
        <v>0.4382938705378927</v>
      </c>
      <c r="K21" s="16"/>
      <c r="L21" s="16"/>
      <c r="M21" s="16"/>
      <c r="N21" s="16"/>
      <c r="O21" s="16"/>
      <c r="P21" s="16"/>
    </row>
    <row r="22" spans="1:17" ht="16" customHeight="1">
      <c r="A22" s="203" t="s">
        <v>41</v>
      </c>
      <c r="B22" s="491"/>
      <c r="C22" s="192">
        <v>6666.2451000000001</v>
      </c>
      <c r="D22" s="467"/>
      <c r="E22" s="467"/>
      <c r="F22" s="467"/>
      <c r="G22" s="493"/>
      <c r="H22" s="197">
        <f t="shared" si="5"/>
        <v>20665359810</v>
      </c>
      <c r="I22" s="463"/>
      <c r="J22" s="489" t="e">
        <f>H22/#REF!</f>
        <v>#REF!</v>
      </c>
      <c r="K22" s="16"/>
      <c r="L22" s="16"/>
      <c r="M22" s="16"/>
      <c r="N22" s="16"/>
      <c r="O22" s="16"/>
      <c r="P22" s="16"/>
    </row>
    <row r="23" spans="1:17" ht="16" customHeight="1">
      <c r="A23" s="216" t="s">
        <v>42</v>
      </c>
      <c r="B23" s="491"/>
      <c r="C23" s="192">
        <v>216.81569999999999</v>
      </c>
      <c r="D23" s="468"/>
      <c r="E23" s="468"/>
      <c r="F23" s="468"/>
      <c r="G23" s="494"/>
      <c r="H23" s="197">
        <f t="shared" si="5"/>
        <v>672128670</v>
      </c>
      <c r="I23" s="464"/>
      <c r="J23" s="490" t="e">
        <f>H23/#REF!</f>
        <v>#REF!</v>
      </c>
      <c r="K23" s="16"/>
      <c r="L23" s="16"/>
      <c r="M23" s="16"/>
      <c r="N23" s="16"/>
      <c r="O23" s="16"/>
      <c r="P23" s="16"/>
    </row>
    <row r="24" spans="1:17" ht="16" customHeight="1">
      <c r="A24" s="203" t="s">
        <v>43</v>
      </c>
      <c r="B24" s="491" t="s">
        <v>130</v>
      </c>
      <c r="C24" s="192">
        <v>2938.8710999999998</v>
      </c>
      <c r="D24" s="466">
        <f>SUM(C24:C25)</f>
        <v>4358.5240999999996</v>
      </c>
      <c r="E24" s="466">
        <f>F24-D24</f>
        <v>1031.1199000000006</v>
      </c>
      <c r="F24" s="466">
        <f>'Cuadro General'!D48</f>
        <v>5389.6440000000002</v>
      </c>
      <c r="G24" s="492">
        <f>F24/F30</f>
        <v>0.18805999871705997</v>
      </c>
      <c r="H24" s="197">
        <f t="shared" si="5"/>
        <v>8228839080</v>
      </c>
      <c r="I24" s="462">
        <f>SUM(G24:H25)</f>
        <v>12203867480.188061</v>
      </c>
      <c r="J24" s="488">
        <f>I24/I30</f>
        <v>0.1782100408544697</v>
      </c>
      <c r="K24" s="16"/>
      <c r="L24" s="16"/>
      <c r="M24" s="16"/>
      <c r="N24" s="16"/>
      <c r="O24" s="16"/>
      <c r="P24" s="16"/>
    </row>
    <row r="25" spans="1:17" ht="16" customHeight="1">
      <c r="A25" s="203" t="s">
        <v>44</v>
      </c>
      <c r="B25" s="491"/>
      <c r="C25" s="192">
        <v>1419.653</v>
      </c>
      <c r="D25" s="468"/>
      <c r="E25" s="468"/>
      <c r="F25" s="468"/>
      <c r="G25" s="494"/>
      <c r="H25" s="197">
        <f t="shared" si="5"/>
        <v>3975028400</v>
      </c>
      <c r="I25" s="464"/>
      <c r="J25" s="490" t="e">
        <f>H25/#REF!</f>
        <v>#REF!</v>
      </c>
      <c r="K25" s="16"/>
      <c r="L25" s="16"/>
      <c r="M25" s="16"/>
      <c r="N25" s="16"/>
      <c r="O25" s="16"/>
      <c r="P25" s="16"/>
    </row>
    <row r="26" spans="1:17" ht="16" customHeight="1">
      <c r="A26" s="203" t="s">
        <v>35</v>
      </c>
      <c r="B26" s="112" t="s">
        <v>131</v>
      </c>
      <c r="C26" s="192">
        <v>3008.2483000000002</v>
      </c>
      <c r="D26" s="221">
        <f>C26</f>
        <v>3008.2483000000002</v>
      </c>
      <c r="E26" s="221">
        <f>F26-D26</f>
        <v>268.76479999999992</v>
      </c>
      <c r="F26" s="221">
        <f>'Cuadro General'!D49</f>
        <v>3277.0131000000001</v>
      </c>
      <c r="G26" s="64">
        <f>F26/F30</f>
        <v>0.11434430166107237</v>
      </c>
      <c r="H26" s="197">
        <f t="shared" si="5"/>
        <v>8423095240.000001</v>
      </c>
      <c r="I26" s="197">
        <f>H26</f>
        <v>8423095240.000001</v>
      </c>
      <c r="J26" s="217">
        <f>I26/I30</f>
        <v>0.12300036437452024</v>
      </c>
      <c r="K26" s="16"/>
      <c r="L26" s="16"/>
      <c r="M26" s="16"/>
      <c r="N26" s="16"/>
      <c r="O26" s="16"/>
      <c r="P26" s="16"/>
    </row>
    <row r="27" spans="1:17" ht="16" customHeight="1">
      <c r="A27" s="203" t="s">
        <v>39</v>
      </c>
      <c r="B27" s="491" t="s">
        <v>132</v>
      </c>
      <c r="C27" s="192">
        <v>1054.2246</v>
      </c>
      <c r="D27" s="466">
        <f>SUM(C27:C28)</f>
        <v>5398.9076000000005</v>
      </c>
      <c r="E27" s="466">
        <f>F27-D27</f>
        <v>913.01659999999993</v>
      </c>
      <c r="F27" s="466">
        <f>'Cuadro General'!D50</f>
        <v>6311.9242000000004</v>
      </c>
      <c r="G27" s="492">
        <f>F27/F30</f>
        <v>0.22024097638993964</v>
      </c>
      <c r="H27" s="197">
        <f t="shared" si="5"/>
        <v>2951828880</v>
      </c>
      <c r="I27" s="462">
        <f>SUM(H27:H28)</f>
        <v>15116941280</v>
      </c>
      <c r="J27" s="488">
        <f>I27/I30</f>
        <v>0.22074893286713282</v>
      </c>
      <c r="K27" s="16"/>
      <c r="L27" s="16"/>
      <c r="M27" s="16"/>
      <c r="N27" s="16"/>
      <c r="O27" s="16"/>
      <c r="P27" s="16"/>
    </row>
    <row r="28" spans="1:17" ht="16" customHeight="1">
      <c r="A28" s="203" t="s">
        <v>40</v>
      </c>
      <c r="B28" s="491"/>
      <c r="C28" s="192">
        <v>4344.683</v>
      </c>
      <c r="D28" s="468"/>
      <c r="E28" s="468"/>
      <c r="F28" s="468"/>
      <c r="G28" s="494"/>
      <c r="H28" s="197">
        <f t="shared" si="5"/>
        <v>12165112400</v>
      </c>
      <c r="I28" s="464"/>
      <c r="J28" s="490" t="e">
        <f>H28/#REF!</f>
        <v>#REF!</v>
      </c>
      <c r="K28" s="16"/>
      <c r="L28" s="16"/>
      <c r="M28" s="16"/>
      <c r="N28" s="16"/>
      <c r="O28" s="16"/>
      <c r="P28" s="16"/>
    </row>
    <row r="29" spans="1:17" ht="16" customHeight="1">
      <c r="A29" s="205" t="s">
        <v>38</v>
      </c>
      <c r="B29" s="50" t="s">
        <v>133</v>
      </c>
      <c r="C29" s="218">
        <v>878.02260000000001</v>
      </c>
      <c r="D29" s="222">
        <f>C29</f>
        <v>878.02260000000001</v>
      </c>
      <c r="E29" s="222">
        <f>F29-D29</f>
        <v>322.97919999999999</v>
      </c>
      <c r="F29" s="222">
        <f>'Cuadro General'!D51</f>
        <v>1201.0018</v>
      </c>
      <c r="G29" s="113">
        <f>F29/F30</f>
        <v>4.190636653685971E-2</v>
      </c>
      <c r="H29" s="197">
        <f t="shared" si="5"/>
        <v>2721870060</v>
      </c>
      <c r="I29" s="197">
        <f>H29</f>
        <v>2721870060</v>
      </c>
      <c r="J29" s="217">
        <f>I29/I30</f>
        <v>3.974679136598451E-2</v>
      </c>
      <c r="K29" s="16"/>
      <c r="L29" s="16"/>
      <c r="M29" s="16"/>
      <c r="N29" s="16"/>
      <c r="O29" s="16"/>
      <c r="P29" s="16"/>
    </row>
    <row r="30" spans="1:17" ht="20" thickBot="1">
      <c r="A30" s="451" t="s">
        <v>32</v>
      </c>
      <c r="B30" s="452"/>
      <c r="C30" s="211">
        <f t="shared" ref="C30:I30" si="6">SUM(C21:C29)</f>
        <v>23325.790400000002</v>
      </c>
      <c r="D30" s="211">
        <f t="shared" si="6"/>
        <v>23325.790400000002</v>
      </c>
      <c r="E30" s="211">
        <f t="shared" si="6"/>
        <v>5333.3824000000013</v>
      </c>
      <c r="F30" s="211">
        <f t="shared" si="6"/>
        <v>28659.1728</v>
      </c>
      <c r="G30" s="219">
        <f t="shared" si="6"/>
        <v>1</v>
      </c>
      <c r="H30" s="220">
        <f t="shared" si="6"/>
        <v>68480246240</v>
      </c>
      <c r="I30" s="220">
        <f t="shared" si="6"/>
        <v>68480246240.188065</v>
      </c>
      <c r="J30" s="223">
        <f>J21+J24+J26+J27+J29</f>
        <v>0.99999999999999989</v>
      </c>
    </row>
    <row r="31" spans="1:17">
      <c r="A31" s="21"/>
      <c r="B31" s="22"/>
      <c r="F31" s="23"/>
      <c r="H31" s="24"/>
      <c r="I31" s="23"/>
      <c r="J31" s="23"/>
    </row>
    <row r="32" spans="1:17">
      <c r="A32" s="21"/>
      <c r="B32" s="22"/>
      <c r="C32" s="23"/>
      <c r="G32" s="23"/>
      <c r="I32" s="24"/>
      <c r="J32" s="23"/>
      <c r="K32" s="23"/>
    </row>
    <row r="33" spans="1:16" ht="21">
      <c r="A33" s="495" t="s">
        <v>195</v>
      </c>
      <c r="B33" s="495"/>
      <c r="C33" s="495"/>
      <c r="D33" s="495"/>
      <c r="E33" s="495"/>
      <c r="F33" s="495"/>
      <c r="G33" s="495"/>
      <c r="H33" s="495"/>
      <c r="I33" s="495"/>
      <c r="J33" s="495"/>
      <c r="K33" s="495"/>
      <c r="L33" s="495"/>
      <c r="M33" s="495"/>
      <c r="N33" s="495"/>
      <c r="O33" s="495"/>
      <c r="P33" s="495"/>
    </row>
    <row r="34" spans="1:16" ht="49" customHeight="1">
      <c r="A34" s="496" t="s">
        <v>47</v>
      </c>
      <c r="B34" s="497" t="s">
        <v>16</v>
      </c>
      <c r="C34" s="497"/>
      <c r="D34" s="498" t="s">
        <v>17</v>
      </c>
      <c r="E34" s="498"/>
      <c r="F34" s="499" t="s">
        <v>147</v>
      </c>
      <c r="G34" s="499"/>
      <c r="H34" s="502" t="s">
        <v>165</v>
      </c>
      <c r="I34" s="502"/>
      <c r="J34" s="500" t="s">
        <v>18</v>
      </c>
      <c r="K34" s="500"/>
      <c r="L34" s="501" t="s">
        <v>150</v>
      </c>
      <c r="M34" s="501"/>
      <c r="N34" s="509" t="s">
        <v>127</v>
      </c>
      <c r="O34" s="509"/>
      <c r="P34" s="503" t="s">
        <v>202</v>
      </c>
    </row>
    <row r="35" spans="1:16" ht="34">
      <c r="A35" s="496"/>
      <c r="B35" s="40" t="s">
        <v>108</v>
      </c>
      <c r="C35" s="40" t="s">
        <v>48</v>
      </c>
      <c r="D35" s="39" t="s">
        <v>108</v>
      </c>
      <c r="E35" s="39" t="s">
        <v>48</v>
      </c>
      <c r="F35" s="41" t="s">
        <v>108</v>
      </c>
      <c r="G35" s="41" t="s">
        <v>48</v>
      </c>
      <c r="H35" s="42" t="s">
        <v>108</v>
      </c>
      <c r="I35" s="42" t="s">
        <v>48</v>
      </c>
      <c r="J35" s="36" t="s">
        <v>108</v>
      </c>
      <c r="K35" s="36" t="s">
        <v>48</v>
      </c>
      <c r="L35" s="37" t="s">
        <v>108</v>
      </c>
      <c r="M35" s="37" t="s">
        <v>48</v>
      </c>
      <c r="N35" s="38" t="s">
        <v>108</v>
      </c>
      <c r="O35" s="38" t="s">
        <v>48</v>
      </c>
      <c r="P35" s="504"/>
    </row>
    <row r="36" spans="1:16">
      <c r="A36" s="68" t="s">
        <v>129</v>
      </c>
      <c r="B36" s="25">
        <v>0</v>
      </c>
      <c r="C36" s="26">
        <f>B36*'Cuadro General'!$E$90</f>
        <v>0</v>
      </c>
      <c r="D36" s="25">
        <v>1</v>
      </c>
      <c r="E36" s="26">
        <f>D36*'Cuadro General'!$E$91</f>
        <v>117443.18287330412</v>
      </c>
      <c r="F36" s="65">
        <v>0.32069637327245087</v>
      </c>
      <c r="G36" s="26">
        <f>F36*'Cuadro General'!$E$92</f>
        <v>7352.7141266959188</v>
      </c>
      <c r="H36" s="25">
        <v>0</v>
      </c>
      <c r="I36" s="26">
        <f>H36*'Cuadro General'!$E$93</f>
        <v>0</v>
      </c>
      <c r="J36" s="25">
        <v>0</v>
      </c>
      <c r="K36" s="26">
        <f>J36*'Cuadro General'!$E$94</f>
        <v>0</v>
      </c>
      <c r="L36" s="25">
        <v>0</v>
      </c>
      <c r="M36" s="26">
        <f>L36*'Cuadro General'!$E$95</f>
        <v>0</v>
      </c>
      <c r="N36" s="25">
        <v>0</v>
      </c>
      <c r="O36" s="26">
        <f>N36*'Cuadro General'!$E$96</f>
        <v>0</v>
      </c>
      <c r="P36" s="27">
        <f>C36+E36+G36+I36+K36+M36+O36</f>
        <v>124795.89700000004</v>
      </c>
    </row>
    <row r="37" spans="1:16">
      <c r="A37" s="68" t="s">
        <v>159</v>
      </c>
      <c r="B37" s="25">
        <v>0</v>
      </c>
      <c r="C37" s="26">
        <f>B37*'Cuadro General'!$E$90</f>
        <v>0</v>
      </c>
      <c r="D37" s="25">
        <v>0</v>
      </c>
      <c r="E37" s="26">
        <f>D37*'Cuadro General'!$E$91</f>
        <v>0</v>
      </c>
      <c r="F37" s="65">
        <v>0</v>
      </c>
      <c r="G37" s="26">
        <f>F37*'Cuadro General'!$E$92</f>
        <v>0</v>
      </c>
      <c r="H37" s="25">
        <v>0</v>
      </c>
      <c r="I37" s="26">
        <f>H37*'Cuadro General'!$E$93</f>
        <v>0</v>
      </c>
      <c r="J37" s="25">
        <v>0</v>
      </c>
      <c r="K37" s="26">
        <f>J37*'Cuadro General'!$E$94</f>
        <v>0</v>
      </c>
      <c r="L37" s="25">
        <v>1</v>
      </c>
      <c r="M37" s="26">
        <f>L37*'Cuadro General'!$E$95</f>
        <v>53896.439999999988</v>
      </c>
      <c r="N37" s="25">
        <v>0</v>
      </c>
      <c r="O37" s="26">
        <f>N37*'Cuadro General'!$E$96</f>
        <v>0</v>
      </c>
      <c r="P37" s="27">
        <f t="shared" ref="P37:P40" si="7">C37+E37+G37+I37+K37+M37+O37</f>
        <v>53896.439999999988</v>
      </c>
    </row>
    <row r="38" spans="1:16">
      <c r="A38" s="68" t="s">
        <v>131</v>
      </c>
      <c r="B38" s="25">
        <v>0</v>
      </c>
      <c r="C38" s="26">
        <f>B38*'Cuadro General'!$E$90</f>
        <v>0</v>
      </c>
      <c r="D38" s="25">
        <v>0</v>
      </c>
      <c r="E38" s="26">
        <f>D38*'Cuadro General'!$E$91</f>
        <v>0</v>
      </c>
      <c r="F38" s="65">
        <v>0.67930378935943392</v>
      </c>
      <c r="G38" s="26">
        <f>F38*'Cuadro General'!$E$92</f>
        <v>15574.627543722978</v>
      </c>
      <c r="H38" s="25">
        <v>1</v>
      </c>
      <c r="I38" s="26">
        <f>H38*'Cuadro General'!$E$93</f>
        <v>17195.503456277034</v>
      </c>
      <c r="J38" s="25">
        <v>0</v>
      </c>
      <c r="K38" s="26">
        <f>J38*'Cuadro General'!$E$94</f>
        <v>0</v>
      </c>
      <c r="L38" s="25">
        <v>0</v>
      </c>
      <c r="M38" s="26">
        <f>L38*'Cuadro General'!$E$95</f>
        <v>0</v>
      </c>
      <c r="N38" s="25">
        <v>0</v>
      </c>
      <c r="O38" s="26">
        <f>N38*'Cuadro General'!$E$96</f>
        <v>0</v>
      </c>
      <c r="P38" s="27">
        <f t="shared" si="7"/>
        <v>32770.131000000008</v>
      </c>
    </row>
    <row r="39" spans="1:16">
      <c r="A39" s="68" t="s">
        <v>132</v>
      </c>
      <c r="B39" s="25">
        <v>1</v>
      </c>
      <c r="C39" s="26">
        <f>B39*'Cuadro General'!$E$90</f>
        <v>63119.24200000002</v>
      </c>
      <c r="D39" s="25">
        <v>0</v>
      </c>
      <c r="E39" s="26">
        <f>D39*'Cuadro General'!$E$91</f>
        <v>0</v>
      </c>
      <c r="F39" s="65">
        <v>0</v>
      </c>
      <c r="G39" s="26">
        <f>F39*'Cuadro General'!$E$92</f>
        <v>0</v>
      </c>
      <c r="H39" s="25">
        <v>0</v>
      </c>
      <c r="I39" s="26">
        <f>H39*'Cuadro General'!$E$93</f>
        <v>0</v>
      </c>
      <c r="J39" s="25">
        <v>0</v>
      </c>
      <c r="K39" s="26">
        <f>J39*'Cuadro General'!$E$94</f>
        <v>0</v>
      </c>
      <c r="L39" s="25">
        <v>0</v>
      </c>
      <c r="M39" s="26">
        <f>L39*'Cuadro General'!$E$95</f>
        <v>0</v>
      </c>
      <c r="N39" s="25">
        <v>0</v>
      </c>
      <c r="O39" s="26">
        <f>N39*'Cuadro General'!$E$96</f>
        <v>0</v>
      </c>
      <c r="P39" s="27">
        <f t="shared" si="7"/>
        <v>63119.24200000002</v>
      </c>
    </row>
    <row r="40" spans="1:16">
      <c r="A40" s="68" t="s">
        <v>160</v>
      </c>
      <c r="B40" s="25">
        <v>0</v>
      </c>
      <c r="C40" s="26">
        <f>B40*'Cuadro General'!$E$90</f>
        <v>0</v>
      </c>
      <c r="D40" s="25">
        <v>0</v>
      </c>
      <c r="E40" s="26">
        <f>D40*'Cuadro General'!$E$91</f>
        <v>0</v>
      </c>
      <c r="F40" s="65">
        <v>0</v>
      </c>
      <c r="G40" s="26">
        <f>F40*'Cuadro General'!$E$92</f>
        <v>0</v>
      </c>
      <c r="H40" s="25">
        <v>0</v>
      </c>
      <c r="I40" s="26">
        <f>H40*'Cuadro General'!$E$93</f>
        <v>0</v>
      </c>
      <c r="J40" s="25">
        <v>0</v>
      </c>
      <c r="K40" s="26">
        <f>J40*'Cuadro General'!$E$94</f>
        <v>0</v>
      </c>
      <c r="L40" s="25">
        <v>0</v>
      </c>
      <c r="M40" s="26">
        <f>L40*'Cuadro General'!$E$95</f>
        <v>0</v>
      </c>
      <c r="N40" s="25">
        <v>1</v>
      </c>
      <c r="O40" s="26">
        <f>N40*'Cuadro General'!$E$96</f>
        <v>4203.5063000000009</v>
      </c>
      <c r="P40" s="27">
        <f t="shared" si="7"/>
        <v>4203.5063000000009</v>
      </c>
    </row>
    <row r="41" spans="1:16" s="4" customFormat="1" ht="19">
      <c r="A41" s="250" t="s">
        <v>32</v>
      </c>
      <c r="B41" s="251">
        <f t="shared" ref="B41:O41" si="8">SUM(B36:B40)</f>
        <v>1</v>
      </c>
      <c r="C41" s="252">
        <f t="shared" si="8"/>
        <v>63119.24200000002</v>
      </c>
      <c r="D41" s="251">
        <f t="shared" si="8"/>
        <v>1</v>
      </c>
      <c r="E41" s="252">
        <f t="shared" si="8"/>
        <v>117443.18287330412</v>
      </c>
      <c r="F41" s="253">
        <f t="shared" si="8"/>
        <v>1.0000001626318848</v>
      </c>
      <c r="G41" s="252">
        <f t="shared" si="8"/>
        <v>22927.341670418897</v>
      </c>
      <c r="H41" s="251">
        <f t="shared" si="8"/>
        <v>1</v>
      </c>
      <c r="I41" s="252">
        <f t="shared" si="8"/>
        <v>17195.503456277034</v>
      </c>
      <c r="J41" s="251">
        <f t="shared" si="8"/>
        <v>0</v>
      </c>
      <c r="K41" s="252">
        <f t="shared" si="8"/>
        <v>0</v>
      </c>
      <c r="L41" s="251">
        <f t="shared" si="8"/>
        <v>1</v>
      </c>
      <c r="M41" s="252">
        <f t="shared" si="8"/>
        <v>53896.439999999988</v>
      </c>
      <c r="N41" s="251">
        <f t="shared" si="8"/>
        <v>1</v>
      </c>
      <c r="O41" s="252">
        <f t="shared" si="8"/>
        <v>4203.5063000000009</v>
      </c>
      <c r="P41" s="252">
        <f>SUM(P36:P40)</f>
        <v>278785.21630000009</v>
      </c>
    </row>
    <row r="42" spans="1:16">
      <c r="J42" s="23"/>
      <c r="K42" s="23"/>
    </row>
    <row r="43" spans="1:16">
      <c r="A43" s="21"/>
      <c r="B43" s="22"/>
      <c r="C43" s="23"/>
      <c r="G43" s="23"/>
      <c r="I43" s="24"/>
      <c r="J43" s="23"/>
      <c r="K43" s="23"/>
    </row>
    <row r="44" spans="1:16" ht="21">
      <c r="A44" s="484" t="s">
        <v>196</v>
      </c>
      <c r="B44" s="484"/>
      <c r="C44" s="484"/>
      <c r="D44" s="484"/>
      <c r="E44" s="484"/>
      <c r="F44" s="484"/>
      <c r="G44" s="484"/>
      <c r="H44" s="23"/>
    </row>
    <row r="45" spans="1:16" ht="51">
      <c r="A45" s="248" t="s">
        <v>47</v>
      </c>
      <c r="B45" s="17" t="s">
        <v>164</v>
      </c>
      <c r="C45" s="17" t="s">
        <v>49</v>
      </c>
      <c r="D45" s="17" t="s">
        <v>151</v>
      </c>
      <c r="E45" s="17" t="s">
        <v>50</v>
      </c>
      <c r="F45" s="17" t="s">
        <v>51</v>
      </c>
      <c r="G45" s="17" t="s">
        <v>203</v>
      </c>
      <c r="H45" s="23"/>
    </row>
    <row r="46" spans="1:16">
      <c r="A46" s="56" t="s">
        <v>129</v>
      </c>
      <c r="B46" s="249">
        <f>F21</f>
        <v>12479.5897</v>
      </c>
      <c r="C46" s="249">
        <f>P36</f>
        <v>124795.89700000004</v>
      </c>
      <c r="D46" s="28">
        <f>C46/B46</f>
        <v>10.000000000000004</v>
      </c>
      <c r="E46" s="28">
        <f>'Cuadro General'!D$97/'Cuadro General'!C$97</f>
        <v>0.5</v>
      </c>
      <c r="F46" s="28">
        <f>B46*E46</f>
        <v>6239.7948500000002</v>
      </c>
      <c r="G46" s="28">
        <f>C46/F46</f>
        <v>20.000000000000007</v>
      </c>
      <c r="H46" s="23"/>
    </row>
    <row r="47" spans="1:16">
      <c r="A47" s="56" t="s">
        <v>159</v>
      </c>
      <c r="B47" s="249">
        <f>F24</f>
        <v>5389.6440000000002</v>
      </c>
      <c r="C47" s="249">
        <f>P37</f>
        <v>53896.439999999988</v>
      </c>
      <c r="D47" s="28">
        <f>C47/B47</f>
        <v>9.9999999999999964</v>
      </c>
      <c r="E47" s="28">
        <f>'Cuadro General'!D$97/'Cuadro General'!C$97</f>
        <v>0.5</v>
      </c>
      <c r="F47" s="28">
        <f>B47*E47</f>
        <v>2694.8220000000001</v>
      </c>
      <c r="G47" s="28">
        <f>C47/F47</f>
        <v>19.999999999999993</v>
      </c>
      <c r="H47" s="23"/>
    </row>
    <row r="48" spans="1:16">
      <c r="A48" s="56" t="s">
        <v>131</v>
      </c>
      <c r="B48" s="249">
        <f>F26</f>
        <v>3277.0131000000001</v>
      </c>
      <c r="C48" s="249">
        <f>P38</f>
        <v>32770.131000000008</v>
      </c>
      <c r="D48" s="28">
        <f>C48/B48</f>
        <v>10.000000000000002</v>
      </c>
      <c r="E48" s="28">
        <f>'Cuadro General'!D$97/'Cuadro General'!C$97</f>
        <v>0.5</v>
      </c>
      <c r="F48" s="28">
        <f>B48*E48</f>
        <v>1638.5065500000001</v>
      </c>
      <c r="G48" s="28">
        <f>C48/F48</f>
        <v>20.000000000000004</v>
      </c>
      <c r="H48" s="23"/>
    </row>
    <row r="49" spans="1:12">
      <c r="A49" s="56" t="s">
        <v>132</v>
      </c>
      <c r="B49" s="249">
        <f>F27</f>
        <v>6311.9242000000004</v>
      </c>
      <c r="C49" s="249">
        <f>P39</f>
        <v>63119.24200000002</v>
      </c>
      <c r="D49" s="28">
        <f>C49/B49</f>
        <v>10.000000000000002</v>
      </c>
      <c r="E49" s="28">
        <f>'Cuadro General'!D$97/'Cuadro General'!C$97</f>
        <v>0.5</v>
      </c>
      <c r="F49" s="28">
        <f>B49*E49</f>
        <v>3155.9621000000002</v>
      </c>
      <c r="G49" s="28">
        <f>C49/F49</f>
        <v>20.000000000000004</v>
      </c>
      <c r="H49" s="23"/>
    </row>
    <row r="50" spans="1:12">
      <c r="A50" s="56" t="s">
        <v>160</v>
      </c>
      <c r="B50" s="249">
        <f>F29</f>
        <v>1201.0018</v>
      </c>
      <c r="C50" s="249">
        <f>P40</f>
        <v>4203.5063000000009</v>
      </c>
      <c r="D50" s="28">
        <f>C50/B50</f>
        <v>3.5000000000000009</v>
      </c>
      <c r="E50" s="28">
        <f>'Cuadro General'!D$97/'Cuadro General'!C$97</f>
        <v>0.5</v>
      </c>
      <c r="F50" s="28">
        <f>B50*E50</f>
        <v>600.5009</v>
      </c>
      <c r="G50" s="28">
        <f>C50/F50</f>
        <v>7.0000000000000018</v>
      </c>
      <c r="H50" s="23"/>
    </row>
    <row r="51" spans="1:12" s="4" customFormat="1" ht="19">
      <c r="A51" s="250" t="s">
        <v>32</v>
      </c>
      <c r="B51" s="254">
        <f>SUM(B46:B50)</f>
        <v>28659.1728</v>
      </c>
      <c r="C51" s="254">
        <f>SUM(C46:C50)</f>
        <v>278785.21630000009</v>
      </c>
      <c r="D51" s="255"/>
      <c r="E51" s="255"/>
      <c r="F51" s="256"/>
      <c r="G51" s="257"/>
      <c r="H51" s="258"/>
    </row>
    <row r="52" spans="1:12">
      <c r="A52" s="21"/>
      <c r="B52" s="22"/>
      <c r="C52" s="23"/>
      <c r="G52" s="23"/>
      <c r="I52" s="24"/>
      <c r="J52" s="23"/>
      <c r="K52" s="23"/>
    </row>
    <row r="53" spans="1:12">
      <c r="A53" s="21"/>
      <c r="B53" s="22"/>
      <c r="C53" s="23"/>
      <c r="G53" s="23"/>
      <c r="I53" s="24"/>
      <c r="J53" s="23"/>
      <c r="K53" s="23"/>
    </row>
    <row r="54" spans="1:12" ht="24">
      <c r="A54" s="495" t="s">
        <v>197</v>
      </c>
      <c r="B54" s="495"/>
      <c r="C54" s="495"/>
      <c r="D54" s="495"/>
      <c r="E54" s="495"/>
      <c r="F54" s="16"/>
      <c r="G54" s="16"/>
      <c r="H54" s="16"/>
      <c r="I54" s="16"/>
      <c r="J54" s="16"/>
      <c r="K54" s="16"/>
      <c r="L54" s="16"/>
    </row>
    <row r="55" spans="1:12" ht="34">
      <c r="A55" s="457" t="s">
        <v>52</v>
      </c>
      <c r="B55" s="458"/>
      <c r="C55" s="17" t="s">
        <v>53</v>
      </c>
      <c r="D55" s="17" t="s">
        <v>54</v>
      </c>
      <c r="E55" s="17" t="s">
        <v>55</v>
      </c>
    </row>
    <row r="56" spans="1:12" ht="15" customHeight="1">
      <c r="A56" s="459" t="s">
        <v>56</v>
      </c>
      <c r="B56" s="459"/>
      <c r="C56" s="550">
        <f>'Cuadro General'!D71</f>
        <v>23682.839500000002</v>
      </c>
      <c r="D56" s="29">
        <v>600000</v>
      </c>
      <c r="E56" s="29">
        <f>C56*D56</f>
        <v>14209703700.000002</v>
      </c>
    </row>
    <row r="57" spans="1:12" ht="16" customHeight="1">
      <c r="A57" s="459" t="s">
        <v>57</v>
      </c>
      <c r="B57" s="459"/>
      <c r="C57" s="550">
        <f>'Cuadro General'!D70</f>
        <v>2921.3837000000003</v>
      </c>
      <c r="D57" s="29">
        <v>2500000</v>
      </c>
      <c r="E57" s="29">
        <f t="shared" ref="E57:E58" si="9">C57*D57</f>
        <v>7303459250.000001</v>
      </c>
    </row>
    <row r="58" spans="1:12">
      <c r="A58" s="459" t="s">
        <v>8</v>
      </c>
      <c r="B58" s="459"/>
      <c r="C58" s="550">
        <f>'Cuadro General'!D72</f>
        <v>29527.915799999995</v>
      </c>
      <c r="D58" s="29">
        <v>1200000</v>
      </c>
      <c r="E58" s="29">
        <f t="shared" si="9"/>
        <v>35433498959.999992</v>
      </c>
    </row>
    <row r="59" spans="1:12">
      <c r="A59" s="551" t="s">
        <v>32</v>
      </c>
      <c r="B59" s="552"/>
      <c r="C59" s="553">
        <f>SUM(C56:C58)</f>
        <v>56132.138999999996</v>
      </c>
      <c r="D59" s="553"/>
      <c r="E59" s="554">
        <f>SUM(E56:E58)</f>
        <v>56946661910</v>
      </c>
    </row>
    <row r="61" spans="1:12" ht="17" thickBot="1"/>
    <row r="62" spans="1:12" ht="24" customHeight="1">
      <c r="A62" s="448" t="s">
        <v>198</v>
      </c>
      <c r="B62" s="449"/>
      <c r="C62" s="449"/>
      <c r="D62" s="449"/>
      <c r="E62" s="449"/>
      <c r="F62" s="449"/>
      <c r="G62" s="449"/>
      <c r="H62" s="449"/>
      <c r="I62" s="449"/>
      <c r="J62" s="450"/>
    </row>
    <row r="63" spans="1:12" ht="34">
      <c r="A63" s="231" t="s">
        <v>58</v>
      </c>
      <c r="B63" s="225">
        <v>9900000</v>
      </c>
      <c r="C63" s="101">
        <v>7500000</v>
      </c>
      <c r="D63" s="102">
        <v>3977272</v>
      </c>
      <c r="E63" s="111">
        <v>2500000</v>
      </c>
      <c r="F63" s="105">
        <v>7200000</v>
      </c>
      <c r="G63" s="103">
        <v>8200000</v>
      </c>
      <c r="H63" s="104">
        <v>7250000</v>
      </c>
      <c r="I63" s="453" t="s">
        <v>32</v>
      </c>
      <c r="J63" s="465" t="s">
        <v>59</v>
      </c>
    </row>
    <row r="64" spans="1:12" s="14" customFormat="1" ht="32" customHeight="1">
      <c r="A64" s="247" t="s">
        <v>47</v>
      </c>
      <c r="B64" s="226" t="s">
        <v>16</v>
      </c>
      <c r="C64" s="109" t="s">
        <v>17</v>
      </c>
      <c r="D64" s="110" t="s">
        <v>147</v>
      </c>
      <c r="E64" s="106" t="s">
        <v>165</v>
      </c>
      <c r="F64" s="107" t="s">
        <v>18</v>
      </c>
      <c r="G64" s="92" t="s">
        <v>150</v>
      </c>
      <c r="H64" s="93" t="s">
        <v>127</v>
      </c>
      <c r="I64" s="454"/>
      <c r="J64" s="465"/>
    </row>
    <row r="65" spans="1:10">
      <c r="A65" s="232" t="s">
        <v>129</v>
      </c>
      <c r="B65" s="224">
        <f>B$63*C36*0.75</f>
        <v>0</v>
      </c>
      <c r="C65" s="224">
        <f>C$63*E36*0.8</f>
        <v>704659097239.82471</v>
      </c>
      <c r="D65" s="224">
        <f>D$63*G36*0.85</f>
        <v>24857182417.09531</v>
      </c>
      <c r="E65" s="224">
        <f>E$63*I36*0.85</f>
        <v>0</v>
      </c>
      <c r="F65" s="224">
        <f>F$63*K36*0.7</f>
        <v>0</v>
      </c>
      <c r="G65" s="224">
        <f>G$63*M36*0.7</f>
        <v>0</v>
      </c>
      <c r="H65" s="224">
        <f>H$63*O36*0.7</f>
        <v>0</v>
      </c>
      <c r="I65" s="227">
        <f>SUM(B65:H65)</f>
        <v>729516279656.92004</v>
      </c>
      <c r="J65" s="233">
        <f>I65/I$70</f>
        <v>0.45085629359392798</v>
      </c>
    </row>
    <row r="66" spans="1:10">
      <c r="A66" s="232" t="s">
        <v>130</v>
      </c>
      <c r="B66" s="224">
        <f>B$63*C37*0.75</f>
        <v>0</v>
      </c>
      <c r="C66" s="224">
        <f>C$63*E37*0.8</f>
        <v>0</v>
      </c>
      <c r="D66" s="224">
        <f>D$63*G37*0.85</f>
        <v>0</v>
      </c>
      <c r="E66" s="224">
        <f>E$63*I37*0.85</f>
        <v>0</v>
      </c>
      <c r="F66" s="224">
        <f>F$63*K37*0.7</f>
        <v>0</v>
      </c>
      <c r="G66" s="224">
        <f>G$63*M37*0.7</f>
        <v>309365565599.99988</v>
      </c>
      <c r="H66" s="224">
        <f>H$63*O37*0.7</f>
        <v>0</v>
      </c>
      <c r="I66" s="227">
        <f>SUM(B66:H66)</f>
        <v>309365565599.99988</v>
      </c>
      <c r="J66" s="233">
        <f>I66/I$70</f>
        <v>0.19119437929143965</v>
      </c>
    </row>
    <row r="67" spans="1:10">
      <c r="A67" s="232" t="s">
        <v>131</v>
      </c>
      <c r="B67" s="224">
        <f>B$63*C38*0.75</f>
        <v>0</v>
      </c>
      <c r="C67" s="224">
        <f>C$63*E38*0.8</f>
        <v>0</v>
      </c>
      <c r="D67" s="224">
        <f>D$63*G38*0.85</f>
        <v>52652850534.066452</v>
      </c>
      <c r="E67" s="224">
        <f>E$63*I38*0.85</f>
        <v>36540444844.588699</v>
      </c>
      <c r="F67" s="224">
        <f>F$63*K38*0.7</f>
        <v>0</v>
      </c>
      <c r="G67" s="224">
        <f>G$63*M38*0.7</f>
        <v>0</v>
      </c>
      <c r="H67" s="224">
        <f>H$63*O38*0.7</f>
        <v>0</v>
      </c>
      <c r="I67" s="227">
        <f>SUM(B67:H67)</f>
        <v>89193295378.655151</v>
      </c>
      <c r="J67" s="233">
        <f>I67/I$70</f>
        <v>5.5123318956995168E-2</v>
      </c>
    </row>
    <row r="68" spans="1:10">
      <c r="A68" s="232" t="s">
        <v>132</v>
      </c>
      <c r="B68" s="224">
        <f>B$63*C39*0.75</f>
        <v>468660371850.00018</v>
      </c>
      <c r="C68" s="224">
        <f>C$63*E39*0.8</f>
        <v>0</v>
      </c>
      <c r="D68" s="224">
        <f>D$63*G39*0.85</f>
        <v>0</v>
      </c>
      <c r="E68" s="224">
        <f>E$63*I39*0.85</f>
        <v>0</v>
      </c>
      <c r="F68" s="224">
        <f>F$63*K39*0.7</f>
        <v>0</v>
      </c>
      <c r="G68" s="224">
        <f>G$63*M39*0.7</f>
        <v>0</v>
      </c>
      <c r="H68" s="224">
        <f>H$63*O39*0.7</f>
        <v>0</v>
      </c>
      <c r="I68" s="227">
        <f>SUM(B68:H68)</f>
        <v>468660371850.00018</v>
      </c>
      <c r="J68" s="233">
        <f>I68/I$70</f>
        <v>0.28964189573125559</v>
      </c>
    </row>
    <row r="69" spans="1:10">
      <c r="A69" s="232" t="s">
        <v>133</v>
      </c>
      <c r="B69" s="224">
        <f>B$63*C40*0.75</f>
        <v>0</v>
      </c>
      <c r="C69" s="224">
        <f>C$63*E40*0.8</f>
        <v>0</v>
      </c>
      <c r="D69" s="224">
        <f>D$63*G40*0.85</f>
        <v>0</v>
      </c>
      <c r="E69" s="224">
        <f>E$63*I40*0.85</f>
        <v>0</v>
      </c>
      <c r="F69" s="224">
        <f>F$63*K40*0.7</f>
        <v>0</v>
      </c>
      <c r="G69" s="224">
        <f>G$63*M40*0.7</f>
        <v>0</v>
      </c>
      <c r="H69" s="224">
        <f>H$63*O40*0.7</f>
        <v>21332794472.500004</v>
      </c>
      <c r="I69" s="227">
        <f>SUM(B69:H69)</f>
        <v>21332794472.500004</v>
      </c>
      <c r="J69" s="233">
        <f>I69/I$70</f>
        <v>1.3184112426381478E-2</v>
      </c>
    </row>
    <row r="70" spans="1:10">
      <c r="A70" s="234" t="s">
        <v>32</v>
      </c>
      <c r="B70" s="228">
        <f t="shared" ref="B70:J70" si="10">SUM(B65:B69)</f>
        <v>468660371850.00018</v>
      </c>
      <c r="C70" s="228">
        <f t="shared" si="10"/>
        <v>704659097239.82471</v>
      </c>
      <c r="D70" s="228">
        <f t="shared" si="10"/>
        <v>77510032951.161758</v>
      </c>
      <c r="E70" s="228">
        <f t="shared" si="10"/>
        <v>36540444844.588699</v>
      </c>
      <c r="F70" s="228">
        <f t="shared" si="10"/>
        <v>0</v>
      </c>
      <c r="G70" s="228">
        <f t="shared" si="10"/>
        <v>309365565599.99988</v>
      </c>
      <c r="H70" s="228">
        <f t="shared" si="10"/>
        <v>21332794472.500004</v>
      </c>
      <c r="I70" s="455">
        <f t="shared" si="10"/>
        <v>1618068306958.0754</v>
      </c>
      <c r="J70" s="486">
        <f t="shared" si="10"/>
        <v>0.99999999999999989</v>
      </c>
    </row>
    <row r="71" spans="1:10" ht="35" thickBot="1">
      <c r="A71" s="235" t="s">
        <v>59</v>
      </c>
      <c r="B71" s="236">
        <f t="shared" ref="B71:H71" si="11">(SUM(B65:B69)/$I$70)</f>
        <v>0.28964189573125559</v>
      </c>
      <c r="C71" s="237">
        <f t="shared" si="11"/>
        <v>0.43549403582631485</v>
      </c>
      <c r="D71" s="238">
        <f t="shared" si="11"/>
        <v>4.7902818822821221E-2</v>
      </c>
      <c r="E71" s="239">
        <f t="shared" si="11"/>
        <v>2.2582757901787067E-2</v>
      </c>
      <c r="F71" s="240">
        <f t="shared" si="11"/>
        <v>0</v>
      </c>
      <c r="G71" s="241">
        <f t="shared" si="11"/>
        <v>0.19119437929143965</v>
      </c>
      <c r="H71" s="242">
        <f t="shared" si="11"/>
        <v>1.3184112426381478E-2</v>
      </c>
      <c r="I71" s="456"/>
      <c r="J71" s="487"/>
    </row>
    <row r="73" spans="1:10" ht="17" thickBot="1"/>
    <row r="74" spans="1:10" ht="24" customHeight="1">
      <c r="A74" s="448" t="s">
        <v>199</v>
      </c>
      <c r="B74" s="449"/>
      <c r="C74" s="449"/>
      <c r="D74" s="449"/>
      <c r="E74" s="449"/>
      <c r="F74" s="449"/>
      <c r="G74" s="449"/>
      <c r="H74" s="449"/>
      <c r="I74" s="449"/>
      <c r="J74" s="450"/>
    </row>
    <row r="75" spans="1:10" ht="51">
      <c r="A75" s="231" t="s">
        <v>60</v>
      </c>
      <c r="B75" s="100">
        <v>3700000</v>
      </c>
      <c r="C75" s="101">
        <v>3050000</v>
      </c>
      <c r="D75" s="102">
        <v>2300000</v>
      </c>
      <c r="E75" s="111">
        <v>2000000</v>
      </c>
      <c r="F75" s="105">
        <v>2500000</v>
      </c>
      <c r="G75" s="103">
        <v>3800000</v>
      </c>
      <c r="H75" s="104">
        <v>2900000</v>
      </c>
      <c r="I75" s="453" t="s">
        <v>32</v>
      </c>
      <c r="J75" s="465" t="s">
        <v>59</v>
      </c>
    </row>
    <row r="76" spans="1:10" ht="32" customHeight="1">
      <c r="A76" s="247" t="s">
        <v>47</v>
      </c>
      <c r="B76" s="108" t="s">
        <v>16</v>
      </c>
      <c r="C76" s="109" t="s">
        <v>17</v>
      </c>
      <c r="D76" s="110" t="s">
        <v>147</v>
      </c>
      <c r="E76" s="106" t="s">
        <v>165</v>
      </c>
      <c r="F76" s="107" t="s">
        <v>18</v>
      </c>
      <c r="G76" s="92" t="s">
        <v>150</v>
      </c>
      <c r="H76" s="93" t="s">
        <v>127</v>
      </c>
      <c r="I76" s="454"/>
      <c r="J76" s="465"/>
    </row>
    <row r="77" spans="1:10">
      <c r="A77" s="232" t="s">
        <v>129</v>
      </c>
      <c r="B77" s="224">
        <f>B$75*C36*0.75</f>
        <v>0</v>
      </c>
      <c r="C77" s="224">
        <f>C$75*E36*0.75</f>
        <v>268651280822.68317</v>
      </c>
      <c r="D77" s="224">
        <f>D$75*G36*0.75</f>
        <v>12683431868.550461</v>
      </c>
      <c r="E77" s="224">
        <f>E$75*I36*0.75</f>
        <v>0</v>
      </c>
      <c r="F77" s="224">
        <f>F$75*K36*0.75</f>
        <v>0</v>
      </c>
      <c r="G77" s="224">
        <f>G$75*M36*0.75</f>
        <v>0</v>
      </c>
      <c r="H77" s="224">
        <f>H$75*O36*0.75</f>
        <v>0</v>
      </c>
      <c r="I77" s="227">
        <f>SUM(B77:H77)</f>
        <v>281334712691.23364</v>
      </c>
      <c r="J77" s="233">
        <f>I77/I$70</f>
        <v>0.17387072689170663</v>
      </c>
    </row>
    <row r="78" spans="1:10">
      <c r="A78" s="232" t="s">
        <v>130</v>
      </c>
      <c r="B78" s="224">
        <f>B$75*C37*0.75</f>
        <v>0</v>
      </c>
      <c r="C78" s="224">
        <f>C$75*E37*0.75</f>
        <v>0</v>
      </c>
      <c r="D78" s="224">
        <f>D$75*G37*0.75</f>
        <v>0</v>
      </c>
      <c r="E78" s="224">
        <f>E$75*I37*0.75</f>
        <v>0</v>
      </c>
      <c r="F78" s="224">
        <f>F$75*K37*0.75</f>
        <v>0</v>
      </c>
      <c r="G78" s="224">
        <f>G$75*M37*0.75</f>
        <v>153604853999.99994</v>
      </c>
      <c r="H78" s="224">
        <f>H$75*O37*0.75</f>
        <v>0</v>
      </c>
      <c r="I78" s="227">
        <f>SUM(B78:H78)</f>
        <v>153604853999.99994</v>
      </c>
      <c r="J78" s="233">
        <f>I78/I$70</f>
        <v>9.4931007139477872E-2</v>
      </c>
    </row>
    <row r="79" spans="1:10">
      <c r="A79" s="232" t="s">
        <v>131</v>
      </c>
      <c r="B79" s="224">
        <f>B$75*C38*0.75</f>
        <v>0</v>
      </c>
      <c r="C79" s="224">
        <f>C$75*E38*0.75</f>
        <v>0</v>
      </c>
      <c r="D79" s="224">
        <f>D$75*G38*0.75</f>
        <v>26866232512.922138</v>
      </c>
      <c r="E79" s="224">
        <f>E$75*I38*0.75</f>
        <v>25793255184.41555</v>
      </c>
      <c r="F79" s="224">
        <f>F$75*K38*0.75</f>
        <v>0</v>
      </c>
      <c r="G79" s="224">
        <f>G$75*M38*0.75</f>
        <v>0</v>
      </c>
      <c r="H79" s="224">
        <f>H$75*O38*0.75</f>
        <v>0</v>
      </c>
      <c r="I79" s="227">
        <f>SUM(B79:H79)</f>
        <v>52659487697.337692</v>
      </c>
      <c r="J79" s="233">
        <f>I79/I$70</f>
        <v>3.2544662960697933E-2</v>
      </c>
    </row>
    <row r="80" spans="1:10">
      <c r="A80" s="232" t="s">
        <v>132</v>
      </c>
      <c r="B80" s="224">
        <f>B$75*C39*0.75</f>
        <v>175155896550.00006</v>
      </c>
      <c r="C80" s="224">
        <f>C$75*E39*0.75</f>
        <v>0</v>
      </c>
      <c r="D80" s="224">
        <f>D$75*G39*0.75</f>
        <v>0</v>
      </c>
      <c r="E80" s="224">
        <f>E$75*I39*0.75</f>
        <v>0</v>
      </c>
      <c r="F80" s="224">
        <f>F$75*K39*0.75</f>
        <v>0</v>
      </c>
      <c r="G80" s="224">
        <f>G$75*M39*0.75</f>
        <v>0</v>
      </c>
      <c r="H80" s="224">
        <f>H$75*O39*0.75</f>
        <v>0</v>
      </c>
      <c r="I80" s="227">
        <f>SUM(B80:H80)</f>
        <v>175155896550.00006</v>
      </c>
      <c r="J80" s="233">
        <f>I80/I$70</f>
        <v>0.10825000143491371</v>
      </c>
    </row>
    <row r="81" spans="1:10">
      <c r="A81" s="232" t="s">
        <v>133</v>
      </c>
      <c r="B81" s="224">
        <f>B$75*C40*0.75</f>
        <v>0</v>
      </c>
      <c r="C81" s="224">
        <f>C$75*E40*0.75</f>
        <v>0</v>
      </c>
      <c r="D81" s="224">
        <f>D$75*G40*0.75</f>
        <v>0</v>
      </c>
      <c r="E81" s="224">
        <f>E$75*I40*0.75</f>
        <v>0</v>
      </c>
      <c r="F81" s="224">
        <f>F$75*K40*0.75</f>
        <v>0</v>
      </c>
      <c r="G81" s="224">
        <f>G$75*M40*0.75</f>
        <v>0</v>
      </c>
      <c r="H81" s="224">
        <f>H$75*O40*0.75</f>
        <v>9142626202.5000019</v>
      </c>
      <c r="I81" s="227">
        <f>SUM(B81:H81)</f>
        <v>9142626202.5000019</v>
      </c>
      <c r="J81" s="233">
        <f>I81/I$70</f>
        <v>5.6503338970206344E-3</v>
      </c>
    </row>
    <row r="82" spans="1:10">
      <c r="A82" s="234" t="s">
        <v>32</v>
      </c>
      <c r="B82" s="228">
        <f t="shared" ref="B82:J82" si="12">SUM(B77:B81)</f>
        <v>175155896550.00006</v>
      </c>
      <c r="C82" s="228">
        <f t="shared" si="12"/>
        <v>268651280822.68317</v>
      </c>
      <c r="D82" s="228">
        <f t="shared" si="12"/>
        <v>39549664381.472595</v>
      </c>
      <c r="E82" s="228">
        <f t="shared" si="12"/>
        <v>25793255184.41555</v>
      </c>
      <c r="F82" s="228">
        <f t="shared" si="12"/>
        <v>0</v>
      </c>
      <c r="G82" s="228">
        <f t="shared" si="12"/>
        <v>153604853999.99994</v>
      </c>
      <c r="H82" s="228">
        <f t="shared" si="12"/>
        <v>9142626202.5000019</v>
      </c>
      <c r="I82" s="455">
        <f t="shared" si="12"/>
        <v>671897577141.07129</v>
      </c>
      <c r="J82" s="486">
        <f t="shared" si="12"/>
        <v>0.41524673232381676</v>
      </c>
    </row>
    <row r="83" spans="1:10" ht="35" thickBot="1">
      <c r="A83" s="235" t="s">
        <v>59</v>
      </c>
      <c r="B83" s="243">
        <f t="shared" ref="B83:H83" si="13">(SUM(B77:B81)/$I$70)</f>
        <v>0.10825000143491371</v>
      </c>
      <c r="C83" s="237">
        <f t="shared" si="13"/>
        <v>0.16603210115878253</v>
      </c>
      <c r="D83" s="238">
        <f t="shared" si="13"/>
        <v>2.4442518410007604E-2</v>
      </c>
      <c r="E83" s="239">
        <f t="shared" si="13"/>
        <v>1.5940770283614399E-2</v>
      </c>
      <c r="F83" s="240">
        <f t="shared" si="13"/>
        <v>0</v>
      </c>
      <c r="G83" s="241">
        <f t="shared" si="13"/>
        <v>9.4931007139477872E-2</v>
      </c>
      <c r="H83" s="242">
        <f t="shared" si="13"/>
        <v>5.6503338970206344E-3</v>
      </c>
      <c r="I83" s="456"/>
      <c r="J83" s="487"/>
    </row>
    <row r="85" spans="1:10" ht="17" thickBot="1"/>
    <row r="86" spans="1:10" ht="24" customHeight="1">
      <c r="A86" s="448" t="s">
        <v>200</v>
      </c>
      <c r="B86" s="449"/>
      <c r="C86" s="449"/>
      <c r="D86" s="449"/>
      <c r="E86" s="449"/>
      <c r="F86" s="449"/>
      <c r="G86" s="449"/>
      <c r="H86" s="449"/>
      <c r="I86" s="449"/>
      <c r="J86" s="450"/>
    </row>
    <row r="87" spans="1:10" ht="34" customHeight="1">
      <c r="A87" s="229" t="s">
        <v>61</v>
      </c>
      <c r="B87" s="96">
        <f>SUM(B88:B92)</f>
        <v>0.25</v>
      </c>
      <c r="C87" s="97">
        <f>SUM(C88:C92)</f>
        <v>0.25</v>
      </c>
      <c r="D87" s="98">
        <f>SUM(D88:D92)</f>
        <v>0.25</v>
      </c>
      <c r="E87" s="99">
        <f>SUM(E88:E92)</f>
        <v>0.25</v>
      </c>
      <c r="F87" s="95">
        <f>SUM(F88:F92)</f>
        <v>0.25</v>
      </c>
      <c r="G87" s="90">
        <v>0.25</v>
      </c>
      <c r="H87" s="91">
        <v>0.25</v>
      </c>
      <c r="I87" s="453" t="s">
        <v>32</v>
      </c>
      <c r="J87" s="465" t="s">
        <v>59</v>
      </c>
    </row>
    <row r="88" spans="1:10" ht="17">
      <c r="A88" s="272" t="s">
        <v>62</v>
      </c>
      <c r="B88" s="96">
        <v>0.13</v>
      </c>
      <c r="C88" s="97">
        <v>0.13</v>
      </c>
      <c r="D88" s="98">
        <v>0.13</v>
      </c>
      <c r="E88" s="99">
        <v>0.13</v>
      </c>
      <c r="F88" s="95">
        <v>0.13</v>
      </c>
      <c r="G88" s="90">
        <v>0.13</v>
      </c>
      <c r="H88" s="91">
        <v>0.13</v>
      </c>
      <c r="I88" s="485"/>
      <c r="J88" s="465"/>
    </row>
    <row r="89" spans="1:10" ht="17">
      <c r="A89" s="272" t="s">
        <v>63</v>
      </c>
      <c r="B89" s="96">
        <v>4.7E-2</v>
      </c>
      <c r="C89" s="97">
        <v>4.7E-2</v>
      </c>
      <c r="D89" s="98">
        <v>4.7E-2</v>
      </c>
      <c r="E89" s="99">
        <v>4.7E-2</v>
      </c>
      <c r="F89" s="95">
        <v>4.7E-2</v>
      </c>
      <c r="G89" s="90">
        <v>4.7E-2</v>
      </c>
      <c r="H89" s="91">
        <v>4.7E-2</v>
      </c>
      <c r="I89" s="485"/>
      <c r="J89" s="465"/>
    </row>
    <row r="90" spans="1:10" ht="34">
      <c r="A90" s="272" t="s">
        <v>64</v>
      </c>
      <c r="B90" s="96">
        <v>3.0000000000000001E-3</v>
      </c>
      <c r="C90" s="97">
        <v>3.0000000000000001E-3</v>
      </c>
      <c r="D90" s="98">
        <v>3.0000000000000001E-3</v>
      </c>
      <c r="E90" s="99">
        <v>3.0000000000000001E-3</v>
      </c>
      <c r="F90" s="95">
        <v>3.0000000000000001E-3</v>
      </c>
      <c r="G90" s="90">
        <v>3.0000000000000001E-3</v>
      </c>
      <c r="H90" s="91">
        <v>3.0000000000000001E-3</v>
      </c>
      <c r="I90" s="485"/>
      <c r="J90" s="465"/>
    </row>
    <row r="91" spans="1:10" ht="34">
      <c r="A91" s="272" t="s">
        <v>65</v>
      </c>
      <c r="B91" s="96">
        <v>0.02</v>
      </c>
      <c r="C91" s="97">
        <v>0.02</v>
      </c>
      <c r="D91" s="98">
        <v>0.02</v>
      </c>
      <c r="E91" s="99">
        <v>0.02</v>
      </c>
      <c r="F91" s="95">
        <v>0.02</v>
      </c>
      <c r="G91" s="90">
        <v>0.02</v>
      </c>
      <c r="H91" s="91">
        <v>0.02</v>
      </c>
      <c r="I91" s="485"/>
      <c r="J91" s="465"/>
    </row>
    <row r="92" spans="1:10" ht="34">
      <c r="A92" s="272" t="s">
        <v>66</v>
      </c>
      <c r="B92" s="96">
        <v>0.05</v>
      </c>
      <c r="C92" s="97">
        <v>0.05</v>
      </c>
      <c r="D92" s="98">
        <v>0.05</v>
      </c>
      <c r="E92" s="99">
        <v>0.05</v>
      </c>
      <c r="F92" s="95">
        <v>0.05</v>
      </c>
      <c r="G92" s="90">
        <v>0.05</v>
      </c>
      <c r="H92" s="91">
        <v>0.05</v>
      </c>
      <c r="I92" s="485"/>
      <c r="J92" s="465"/>
    </row>
    <row r="93" spans="1:10" ht="32" customHeight="1">
      <c r="A93" s="247" t="s">
        <v>47</v>
      </c>
      <c r="B93" s="108" t="s">
        <v>16</v>
      </c>
      <c r="C93" s="109" t="s">
        <v>17</v>
      </c>
      <c r="D93" s="110" t="s">
        <v>147</v>
      </c>
      <c r="E93" s="106" t="s">
        <v>165</v>
      </c>
      <c r="F93" s="107" t="s">
        <v>18</v>
      </c>
      <c r="G93" s="92" t="s">
        <v>150</v>
      </c>
      <c r="H93" s="93" t="s">
        <v>127</v>
      </c>
      <c r="I93" s="454"/>
      <c r="J93" s="465"/>
    </row>
    <row r="94" spans="1:10">
      <c r="A94" s="232" t="s">
        <v>129</v>
      </c>
      <c r="B94" s="224">
        <f t="shared" ref="B94:H98" si="14">B$87*B65</f>
        <v>0</v>
      </c>
      <c r="C94" s="224">
        <f t="shared" si="14"/>
        <v>176164774309.95618</v>
      </c>
      <c r="D94" s="224">
        <f t="shared" si="14"/>
        <v>6214295604.2738276</v>
      </c>
      <c r="E94" s="224">
        <f t="shared" si="14"/>
        <v>0</v>
      </c>
      <c r="F94" s="224">
        <f t="shared" si="14"/>
        <v>0</v>
      </c>
      <c r="G94" s="224">
        <f t="shared" si="14"/>
        <v>0</v>
      </c>
      <c r="H94" s="224">
        <f t="shared" si="14"/>
        <v>0</v>
      </c>
      <c r="I94" s="227">
        <f>SUM(B94:H94)</f>
        <v>182379069914.23001</v>
      </c>
      <c r="J94" s="233">
        <f t="shared" ref="J94:J99" si="15">I94/$I$70</f>
        <v>0.112714073398482</v>
      </c>
    </row>
    <row r="95" spans="1:10">
      <c r="A95" s="232" t="s">
        <v>130</v>
      </c>
      <c r="B95" s="224">
        <f t="shared" si="14"/>
        <v>0</v>
      </c>
      <c r="C95" s="224">
        <f t="shared" si="14"/>
        <v>0</v>
      </c>
      <c r="D95" s="224">
        <f t="shared" si="14"/>
        <v>0</v>
      </c>
      <c r="E95" s="224">
        <f t="shared" si="14"/>
        <v>0</v>
      </c>
      <c r="F95" s="224">
        <f t="shared" si="14"/>
        <v>0</v>
      </c>
      <c r="G95" s="224">
        <f t="shared" si="14"/>
        <v>77341391399.999969</v>
      </c>
      <c r="H95" s="224">
        <f t="shared" si="14"/>
        <v>0</v>
      </c>
      <c r="I95" s="227">
        <f>SUM(B95:H95)</f>
        <v>77341391399.999969</v>
      </c>
      <c r="J95" s="233">
        <f t="shared" si="15"/>
        <v>4.7798594822859912E-2</v>
      </c>
    </row>
    <row r="96" spans="1:10">
      <c r="A96" s="232" t="s">
        <v>131</v>
      </c>
      <c r="B96" s="224">
        <f t="shared" si="14"/>
        <v>0</v>
      </c>
      <c r="C96" s="224">
        <f t="shared" si="14"/>
        <v>0</v>
      </c>
      <c r="D96" s="224">
        <f t="shared" si="14"/>
        <v>13163212633.516613</v>
      </c>
      <c r="E96" s="224">
        <f t="shared" si="14"/>
        <v>9135111211.1471748</v>
      </c>
      <c r="F96" s="224">
        <f t="shared" si="14"/>
        <v>0</v>
      </c>
      <c r="G96" s="224">
        <f t="shared" si="14"/>
        <v>0</v>
      </c>
      <c r="H96" s="224">
        <f t="shared" si="14"/>
        <v>0</v>
      </c>
      <c r="I96" s="227">
        <f>SUM(B96:H96)</f>
        <v>22298323844.663788</v>
      </c>
      <c r="J96" s="233">
        <f t="shared" si="15"/>
        <v>1.3780829739248792E-2</v>
      </c>
    </row>
    <row r="97" spans="1:10">
      <c r="A97" s="232" t="s">
        <v>132</v>
      </c>
      <c r="B97" s="224">
        <f t="shared" si="14"/>
        <v>117165092962.50005</v>
      </c>
      <c r="C97" s="224">
        <f t="shared" si="14"/>
        <v>0</v>
      </c>
      <c r="D97" s="224">
        <f t="shared" si="14"/>
        <v>0</v>
      </c>
      <c r="E97" s="224">
        <f t="shared" si="14"/>
        <v>0</v>
      </c>
      <c r="F97" s="224">
        <f t="shared" si="14"/>
        <v>0</v>
      </c>
      <c r="G97" s="224">
        <f t="shared" si="14"/>
        <v>0</v>
      </c>
      <c r="H97" s="224">
        <f t="shared" si="14"/>
        <v>0</v>
      </c>
      <c r="I97" s="227">
        <f>SUM(B97:H97)</f>
        <v>117165092962.50005</v>
      </c>
      <c r="J97" s="233">
        <f t="shared" si="15"/>
        <v>7.2410473932813899E-2</v>
      </c>
    </row>
    <row r="98" spans="1:10">
      <c r="A98" s="232" t="s">
        <v>133</v>
      </c>
      <c r="B98" s="224">
        <f t="shared" si="14"/>
        <v>0</v>
      </c>
      <c r="C98" s="224">
        <f t="shared" si="14"/>
        <v>0</v>
      </c>
      <c r="D98" s="224">
        <f t="shared" si="14"/>
        <v>0</v>
      </c>
      <c r="E98" s="224">
        <f t="shared" si="14"/>
        <v>0</v>
      </c>
      <c r="F98" s="224">
        <f t="shared" si="14"/>
        <v>0</v>
      </c>
      <c r="G98" s="224">
        <f t="shared" si="14"/>
        <v>0</v>
      </c>
      <c r="H98" s="224">
        <f t="shared" si="14"/>
        <v>5333198618.125001</v>
      </c>
      <c r="I98" s="227">
        <f>SUM(B98:H98)</f>
        <v>5333198618.125001</v>
      </c>
      <c r="J98" s="233">
        <f t="shared" si="15"/>
        <v>3.2960281065953696E-3</v>
      </c>
    </row>
    <row r="99" spans="1:10" ht="17">
      <c r="A99" s="264" t="s">
        <v>32</v>
      </c>
      <c r="B99" s="244">
        <f t="shared" ref="B99:I99" si="16">SUM(B94:B98)</f>
        <v>117165092962.50005</v>
      </c>
      <c r="C99" s="244">
        <f t="shared" si="16"/>
        <v>176164774309.95618</v>
      </c>
      <c r="D99" s="244">
        <f t="shared" si="16"/>
        <v>19377508237.79044</v>
      </c>
      <c r="E99" s="244">
        <f t="shared" si="16"/>
        <v>9135111211.1471748</v>
      </c>
      <c r="F99" s="244">
        <f t="shared" si="16"/>
        <v>0</v>
      </c>
      <c r="G99" s="244">
        <f t="shared" si="16"/>
        <v>77341391399.999969</v>
      </c>
      <c r="H99" s="244">
        <f t="shared" si="16"/>
        <v>5333198618.125001</v>
      </c>
      <c r="I99" s="245">
        <f t="shared" si="16"/>
        <v>404517076739.51886</v>
      </c>
      <c r="J99" s="510">
        <f t="shared" si="15"/>
        <v>0.25</v>
      </c>
    </row>
    <row r="100" spans="1:10" ht="35" thickBot="1">
      <c r="A100" s="235" t="s">
        <v>59</v>
      </c>
      <c r="B100" s="236">
        <f t="shared" ref="B100:H100" si="17">B99/$I99</f>
        <v>0.28964189573125559</v>
      </c>
      <c r="C100" s="265">
        <f t="shared" si="17"/>
        <v>0.43549403582631485</v>
      </c>
      <c r="D100" s="266">
        <f t="shared" si="17"/>
        <v>4.7902818822821221E-2</v>
      </c>
      <c r="E100" s="267">
        <f t="shared" si="17"/>
        <v>2.2582757901787067E-2</v>
      </c>
      <c r="F100" s="268">
        <f t="shared" si="17"/>
        <v>0</v>
      </c>
      <c r="G100" s="268">
        <f t="shared" si="17"/>
        <v>0.19119437929143965</v>
      </c>
      <c r="H100" s="268">
        <f t="shared" si="17"/>
        <v>1.3184112426381478E-2</v>
      </c>
      <c r="I100" s="271">
        <f>SUM(B100:H100)</f>
        <v>1</v>
      </c>
      <c r="J100" s="511"/>
    </row>
    <row r="102" spans="1:10" ht="17" thickBot="1"/>
    <row r="103" spans="1:10" ht="24" customHeight="1">
      <c r="A103" s="448" t="s">
        <v>201</v>
      </c>
      <c r="B103" s="449"/>
      <c r="C103" s="449"/>
      <c r="D103" s="449"/>
      <c r="E103" s="449"/>
      <c r="F103" s="449"/>
      <c r="G103" s="449"/>
      <c r="H103" s="449"/>
      <c r="I103" s="449"/>
      <c r="J103" s="450"/>
    </row>
    <row r="104" spans="1:10" ht="51">
      <c r="A104" s="229" t="s">
        <v>67</v>
      </c>
      <c r="B104" s="96">
        <v>0.22</v>
      </c>
      <c r="C104" s="97">
        <v>0.18</v>
      </c>
      <c r="D104" s="98">
        <v>0.12</v>
      </c>
      <c r="E104" s="99">
        <v>0.08</v>
      </c>
      <c r="F104" s="95">
        <v>0.16</v>
      </c>
      <c r="G104" s="90">
        <v>0.16</v>
      </c>
      <c r="H104" s="91">
        <v>0.16</v>
      </c>
      <c r="I104" s="453" t="s">
        <v>32</v>
      </c>
      <c r="J104" s="465" t="s">
        <v>59</v>
      </c>
    </row>
    <row r="105" spans="1:10" ht="32" customHeight="1">
      <c r="A105" s="247" t="s">
        <v>47</v>
      </c>
      <c r="B105" s="108" t="s">
        <v>16</v>
      </c>
      <c r="C105" s="109" t="s">
        <v>17</v>
      </c>
      <c r="D105" s="110" t="s">
        <v>147</v>
      </c>
      <c r="E105" s="106" t="s">
        <v>165</v>
      </c>
      <c r="F105" s="107" t="s">
        <v>18</v>
      </c>
      <c r="G105" s="92" t="s">
        <v>150</v>
      </c>
      <c r="H105" s="93" t="s">
        <v>127</v>
      </c>
      <c r="I105" s="454"/>
      <c r="J105" s="465"/>
    </row>
    <row r="106" spans="1:10">
      <c r="A106" s="232" t="s">
        <v>129</v>
      </c>
      <c r="B106" s="224">
        <f t="shared" ref="B106:H110" si="18">B$104*B65</f>
        <v>0</v>
      </c>
      <c r="C106" s="224">
        <f t="shared" si="18"/>
        <v>126838637503.16844</v>
      </c>
      <c r="D106" s="224">
        <f t="shared" si="18"/>
        <v>2982861890.0514369</v>
      </c>
      <c r="E106" s="224">
        <f t="shared" si="18"/>
        <v>0</v>
      </c>
      <c r="F106" s="224">
        <f t="shared" si="18"/>
        <v>0</v>
      </c>
      <c r="G106" s="224">
        <f t="shared" si="18"/>
        <v>0</v>
      </c>
      <c r="H106" s="224">
        <f t="shared" si="18"/>
        <v>0</v>
      </c>
      <c r="I106" s="227">
        <f>SUM(B106:H106)</f>
        <v>129821499393.21988</v>
      </c>
      <c r="J106" s="233">
        <f>I106/I$70</f>
        <v>8.0232397380850237E-2</v>
      </c>
    </row>
    <row r="107" spans="1:10">
      <c r="A107" s="232" t="s">
        <v>130</v>
      </c>
      <c r="B107" s="224">
        <f t="shared" si="18"/>
        <v>0</v>
      </c>
      <c r="C107" s="224">
        <f t="shared" si="18"/>
        <v>0</v>
      </c>
      <c r="D107" s="224">
        <f t="shared" si="18"/>
        <v>0</v>
      </c>
      <c r="E107" s="224">
        <f t="shared" si="18"/>
        <v>0</v>
      </c>
      <c r="F107" s="224">
        <f t="shared" si="18"/>
        <v>0</v>
      </c>
      <c r="G107" s="224">
        <f t="shared" si="18"/>
        <v>49498490495.999985</v>
      </c>
      <c r="H107" s="224">
        <f t="shared" si="18"/>
        <v>0</v>
      </c>
      <c r="I107" s="227">
        <f t="shared" ref="I107:I110" si="19">SUM(B107:H107)</f>
        <v>49498490495.999985</v>
      </c>
      <c r="J107" s="233">
        <f>I107/I$70</f>
        <v>3.0591100686630346E-2</v>
      </c>
    </row>
    <row r="108" spans="1:10">
      <c r="A108" s="232" t="s">
        <v>131</v>
      </c>
      <c r="B108" s="224">
        <f t="shared" si="18"/>
        <v>0</v>
      </c>
      <c r="C108" s="224">
        <f t="shared" si="18"/>
        <v>0</v>
      </c>
      <c r="D108" s="224">
        <f t="shared" si="18"/>
        <v>6318342064.0879736</v>
      </c>
      <c r="E108" s="224">
        <f t="shared" si="18"/>
        <v>2923235587.5670962</v>
      </c>
      <c r="F108" s="224">
        <f t="shared" si="18"/>
        <v>0</v>
      </c>
      <c r="G108" s="224">
        <f t="shared" si="18"/>
        <v>0</v>
      </c>
      <c r="H108" s="224">
        <f t="shared" si="18"/>
        <v>0</v>
      </c>
      <c r="I108" s="227">
        <f t="shared" si="19"/>
        <v>9241577651.6550694</v>
      </c>
      <c r="J108" s="233">
        <f>I108/I$70</f>
        <v>5.7114879587679369E-3</v>
      </c>
    </row>
    <row r="109" spans="1:10">
      <c r="A109" s="232" t="s">
        <v>132</v>
      </c>
      <c r="B109" s="224">
        <f t="shared" si="18"/>
        <v>103105281807.00005</v>
      </c>
      <c r="C109" s="224">
        <f t="shared" si="18"/>
        <v>0</v>
      </c>
      <c r="D109" s="224">
        <f t="shared" si="18"/>
        <v>0</v>
      </c>
      <c r="E109" s="224">
        <f t="shared" si="18"/>
        <v>0</v>
      </c>
      <c r="F109" s="224">
        <f t="shared" si="18"/>
        <v>0</v>
      </c>
      <c r="G109" s="224">
        <f t="shared" si="18"/>
        <v>0</v>
      </c>
      <c r="H109" s="224">
        <f t="shared" si="18"/>
        <v>0</v>
      </c>
      <c r="I109" s="227">
        <f t="shared" si="19"/>
        <v>103105281807.00005</v>
      </c>
      <c r="J109" s="233">
        <f>I109/I$70</f>
        <v>6.3721217060876231E-2</v>
      </c>
    </row>
    <row r="110" spans="1:10">
      <c r="A110" s="232" t="s">
        <v>133</v>
      </c>
      <c r="B110" s="224">
        <f t="shared" si="18"/>
        <v>0</v>
      </c>
      <c r="C110" s="224">
        <f t="shared" si="18"/>
        <v>0</v>
      </c>
      <c r="D110" s="224">
        <f t="shared" si="18"/>
        <v>0</v>
      </c>
      <c r="E110" s="224">
        <f t="shared" si="18"/>
        <v>0</v>
      </c>
      <c r="F110" s="224">
        <f t="shared" si="18"/>
        <v>0</v>
      </c>
      <c r="G110" s="224">
        <f t="shared" si="18"/>
        <v>0</v>
      </c>
      <c r="H110" s="224">
        <f t="shared" si="18"/>
        <v>3413247115.6000009</v>
      </c>
      <c r="I110" s="227">
        <f t="shared" si="19"/>
        <v>3413247115.6000009</v>
      </c>
      <c r="J110" s="233">
        <f>I110/I$70</f>
        <v>2.1094579882210366E-3</v>
      </c>
    </row>
    <row r="111" spans="1:10" ht="17">
      <c r="A111" s="264" t="s">
        <v>32</v>
      </c>
      <c r="B111" s="244">
        <f t="shared" ref="B111:H111" si="20">SUM(B106:B110)</f>
        <v>103105281807.00005</v>
      </c>
      <c r="C111" s="244">
        <f t="shared" si="20"/>
        <v>126838637503.16844</v>
      </c>
      <c r="D111" s="244">
        <f t="shared" si="20"/>
        <v>9301203954.13941</v>
      </c>
      <c r="E111" s="244">
        <f t="shared" si="20"/>
        <v>2923235587.5670962</v>
      </c>
      <c r="F111" s="244">
        <f t="shared" si="20"/>
        <v>0</v>
      </c>
      <c r="G111" s="244">
        <f t="shared" si="20"/>
        <v>49498490495.999985</v>
      </c>
      <c r="H111" s="244">
        <f t="shared" si="20"/>
        <v>3413247115.6000009</v>
      </c>
      <c r="I111" s="245">
        <f>SUM(B111:H111)</f>
        <v>295080096463.47498</v>
      </c>
      <c r="J111" s="486">
        <f>SUM(J106:J110)</f>
        <v>0.1823656610753458</v>
      </c>
    </row>
    <row r="112" spans="1:10" ht="35" thickBot="1">
      <c r="A112" s="235" t="s">
        <v>59</v>
      </c>
      <c r="B112" s="236">
        <f t="shared" ref="B112:I112" si="21">B111/$I111</f>
        <v>0.34941455910687769</v>
      </c>
      <c r="C112" s="265">
        <f t="shared" si="21"/>
        <v>0.42984477443014707</v>
      </c>
      <c r="D112" s="266">
        <f t="shared" si="21"/>
        <v>3.1520946568792764E-2</v>
      </c>
      <c r="E112" s="267">
        <f t="shared" si="21"/>
        <v>9.9065834076983716E-3</v>
      </c>
      <c r="F112" s="268">
        <f t="shared" si="21"/>
        <v>0</v>
      </c>
      <c r="G112" s="269">
        <f t="shared" si="21"/>
        <v>0.16774594792816502</v>
      </c>
      <c r="H112" s="270">
        <f t="shared" si="21"/>
        <v>1.156718855831909E-2</v>
      </c>
      <c r="I112" s="271">
        <f t="shared" si="21"/>
        <v>1</v>
      </c>
      <c r="J112" s="487"/>
    </row>
    <row r="114" spans="1:13" ht="17" thickBot="1"/>
    <row r="115" spans="1:13" ht="24" customHeight="1">
      <c r="A115" s="418" t="s">
        <v>238</v>
      </c>
      <c r="B115" s="419"/>
      <c r="C115" s="419"/>
      <c r="D115" s="419"/>
      <c r="E115" s="419"/>
      <c r="F115" s="419"/>
      <c r="G115" s="419"/>
      <c r="H115" s="419"/>
      <c r="I115" s="419"/>
      <c r="J115" s="419"/>
      <c r="K115" s="419"/>
      <c r="L115" s="419"/>
      <c r="M115" s="420"/>
    </row>
    <row r="116" spans="1:13" ht="51">
      <c r="A116" s="246" t="s">
        <v>47</v>
      </c>
      <c r="B116" s="294" t="s">
        <v>239</v>
      </c>
      <c r="C116" s="294" t="s">
        <v>245</v>
      </c>
      <c r="D116" s="294" t="s">
        <v>246</v>
      </c>
      <c r="E116" s="294" t="s">
        <v>240</v>
      </c>
      <c r="F116" s="294" t="s">
        <v>241</v>
      </c>
      <c r="G116" s="294" t="s">
        <v>242</v>
      </c>
      <c r="H116" s="294" t="s">
        <v>243</v>
      </c>
      <c r="I116" s="294" t="s">
        <v>244</v>
      </c>
      <c r="J116" s="248" t="s">
        <v>247</v>
      </c>
      <c r="K116" s="248" t="s">
        <v>248</v>
      </c>
      <c r="L116" s="248" t="s">
        <v>249</v>
      </c>
      <c r="M116" s="230" t="s">
        <v>250</v>
      </c>
    </row>
    <row r="117" spans="1:13">
      <c r="A117" s="232" t="s">
        <v>129</v>
      </c>
      <c r="B117" s="295">
        <f>I65</f>
        <v>729516279656.92004</v>
      </c>
      <c r="C117" s="295">
        <f>I21</f>
        <v>30014472180</v>
      </c>
      <c r="D117" s="295">
        <f>($F$17-$H$30)*M117</f>
        <v>63151593721.507362</v>
      </c>
      <c r="E117" s="295">
        <f>I77</f>
        <v>281334712691.23364</v>
      </c>
      <c r="F117" s="295">
        <f>I94</f>
        <v>182379069914.23001</v>
      </c>
      <c r="G117" s="295">
        <f>I106</f>
        <v>129821499393.21988</v>
      </c>
      <c r="H117" s="295">
        <f>$E$59*M117</f>
        <v>33883585450.310989</v>
      </c>
      <c r="I117" s="295">
        <f>$D$135*M117</f>
        <v>8931346306.4181538</v>
      </c>
      <c r="J117" s="227">
        <f>B117-E117-F117-G117</f>
        <v>135980997658.23651</v>
      </c>
      <c r="K117" s="296">
        <f>J117-H117</f>
        <v>102097412207.92552</v>
      </c>
      <c r="L117" s="295">
        <f>K117-C117-D117-I117</f>
        <v>0</v>
      </c>
      <c r="M117" s="298">
        <v>0.59500564763324493</v>
      </c>
    </row>
    <row r="118" spans="1:13">
      <c r="A118" s="232" t="s">
        <v>130</v>
      </c>
      <c r="B118" s="295">
        <f t="shared" ref="B118:B121" si="22">I66</f>
        <v>309365565599.99988</v>
      </c>
      <c r="C118" s="295">
        <f>I24</f>
        <v>12203867480.188061</v>
      </c>
      <c r="D118" s="295">
        <f t="shared" ref="D118:D120" si="23">($F$17-$H$30)*M118</f>
        <v>9962606604.7884007</v>
      </c>
      <c r="E118" s="295">
        <f>I78</f>
        <v>153604853999.99994</v>
      </c>
      <c r="F118" s="295">
        <f>I95</f>
        <v>77341391399.999969</v>
      </c>
      <c r="G118" s="295">
        <f>I107</f>
        <v>49498490495.999985</v>
      </c>
      <c r="H118" s="295">
        <f t="shared" ref="H118:H121" si="24">$E$59*M118</f>
        <v>5345373130.0880146</v>
      </c>
      <c r="I118" s="295">
        <f t="shared" ref="I118:I121" si="25">$D$135*M118</f>
        <v>1408982488.9355166</v>
      </c>
      <c r="J118" s="227">
        <f t="shared" ref="J118:J120" si="26">B118-E118-F118-G118</f>
        <v>28920829703.999985</v>
      </c>
      <c r="K118" s="296">
        <f t="shared" ref="K118:K121" si="27">J118-H118</f>
        <v>23575456573.911972</v>
      </c>
      <c r="L118" s="295">
        <f t="shared" ref="L118:L121" si="28">K118-C118-D118-I118</f>
        <v>-5.9604644775390625E-6</v>
      </c>
      <c r="M118" s="298">
        <v>9.3866311927747109E-2</v>
      </c>
    </row>
    <row r="119" spans="1:13">
      <c r="A119" s="232" t="s">
        <v>131</v>
      </c>
      <c r="B119" s="295">
        <f t="shared" si="22"/>
        <v>89193295378.655151</v>
      </c>
      <c r="C119" s="295">
        <f>I26</f>
        <v>8423095240.000001</v>
      </c>
      <c r="D119" s="295">
        <f t="shared" si="23"/>
        <v>0</v>
      </c>
      <c r="E119" s="295">
        <f>I79</f>
        <v>52659487697.337692</v>
      </c>
      <c r="F119" s="295">
        <f>I96</f>
        <v>22298323844.663788</v>
      </c>
      <c r="G119" s="295">
        <f>I108</f>
        <v>9241577651.6550694</v>
      </c>
      <c r="H119" s="295">
        <f t="shared" si="24"/>
        <v>0</v>
      </c>
      <c r="I119" s="295">
        <f t="shared" si="25"/>
        <v>0</v>
      </c>
      <c r="J119" s="227">
        <f t="shared" si="26"/>
        <v>4993906184.9986019</v>
      </c>
      <c r="K119" s="296">
        <f t="shared" si="27"/>
        <v>4993906184.9986019</v>
      </c>
      <c r="L119" s="295">
        <f t="shared" si="28"/>
        <v>-3429189055.001399</v>
      </c>
      <c r="M119" s="298">
        <v>0</v>
      </c>
    </row>
    <row r="120" spans="1:13">
      <c r="A120" s="232" t="s">
        <v>132</v>
      </c>
      <c r="B120" s="295">
        <f t="shared" si="22"/>
        <v>468660371850.00018</v>
      </c>
      <c r="C120" s="295">
        <f>I27</f>
        <v>15116941280</v>
      </c>
      <c r="D120" s="295">
        <f t="shared" si="23"/>
        <v>32591730828.707237</v>
      </c>
      <c r="E120" s="295">
        <f>I80</f>
        <v>175155896550.00006</v>
      </c>
      <c r="F120" s="295">
        <f>I97</f>
        <v>117165092962.50005</v>
      </c>
      <c r="G120" s="295">
        <f>I109</f>
        <v>103105281807.00005</v>
      </c>
      <c r="H120" s="295">
        <f t="shared" si="24"/>
        <v>17486885626.006615</v>
      </c>
      <c r="I120" s="295">
        <f t="shared" si="25"/>
        <v>4609353740.7847557</v>
      </c>
      <c r="J120" s="227">
        <f t="shared" si="26"/>
        <v>73234100530.500015</v>
      </c>
      <c r="K120" s="296">
        <f t="shared" si="27"/>
        <v>55747214904.493401</v>
      </c>
      <c r="L120" s="295">
        <f t="shared" si="28"/>
        <v>3429189055.0014076</v>
      </c>
      <c r="M120" s="298">
        <v>0.30707481421199628</v>
      </c>
    </row>
    <row r="121" spans="1:13">
      <c r="A121" s="232" t="s">
        <v>133</v>
      </c>
      <c r="B121" s="295">
        <f t="shared" si="22"/>
        <v>21332794472.500004</v>
      </c>
      <c r="C121" s="295">
        <f>I29</f>
        <v>2721870060</v>
      </c>
      <c r="D121" s="295">
        <f>($F$17-$H$30)*M121</f>
        <v>430193724.88480204</v>
      </c>
      <c r="E121" s="295">
        <f>I81</f>
        <v>9142626202.5000019</v>
      </c>
      <c r="F121" s="295">
        <f>I98</f>
        <v>5333198618.125001</v>
      </c>
      <c r="G121" s="295">
        <f>I110</f>
        <v>3413247115.6000009</v>
      </c>
      <c r="H121" s="295">
        <f t="shared" si="24"/>
        <v>230817703.53417841</v>
      </c>
      <c r="I121" s="295">
        <f t="shared" si="25"/>
        <v>60841047.85601972</v>
      </c>
      <c r="J121" s="227">
        <f>B121-E121-F121-G121</f>
        <v>3443722536.2750001</v>
      </c>
      <c r="K121" s="296">
        <f t="shared" si="27"/>
        <v>3212904832.7408218</v>
      </c>
      <c r="L121" s="295">
        <f t="shared" si="28"/>
        <v>7.4505805969238281E-8</v>
      </c>
      <c r="M121" s="298">
        <v>4.053226225954539E-3</v>
      </c>
    </row>
    <row r="122" spans="1:13" ht="17">
      <c r="A122" s="299" t="s">
        <v>32</v>
      </c>
      <c r="B122" s="297">
        <f t="shared" ref="B122" si="29">SUM(B117:B121)</f>
        <v>1618068306958.0754</v>
      </c>
      <c r="C122" s="297">
        <f t="shared" ref="C122:D122" si="30">SUM(C117:C121)</f>
        <v>68480246240.188065</v>
      </c>
      <c r="D122" s="297">
        <f t="shared" si="30"/>
        <v>106136124879.88779</v>
      </c>
      <c r="E122" s="297">
        <f t="shared" ref="E122" si="31">SUM(E117:E121)</f>
        <v>671897577141.07129</v>
      </c>
      <c r="F122" s="297">
        <f t="shared" ref="F122" si="32">SUM(F117:F121)</f>
        <v>404517076739.51886</v>
      </c>
      <c r="G122" s="297">
        <f t="shared" ref="G122" si="33">SUM(G117:G121)</f>
        <v>295080096463.47491</v>
      </c>
      <c r="H122" s="297">
        <f t="shared" ref="H122" si="34">SUM(H117:H121)</f>
        <v>56946661909.939796</v>
      </c>
      <c r="I122" s="297">
        <f t="shared" ref="I122:L122" si="35">SUM(I117:I121)</f>
        <v>15010523583.994446</v>
      </c>
      <c r="J122" s="297">
        <f t="shared" si="35"/>
        <v>246573556614.0101</v>
      </c>
      <c r="K122" s="297">
        <f t="shared" si="35"/>
        <v>189626894704.07031</v>
      </c>
      <c r="L122" s="505">
        <f t="shared" si="35"/>
        <v>2.9355287551879883E-6</v>
      </c>
      <c r="M122" s="507">
        <f>SUM(M117:M121)</f>
        <v>0.99999999999894285</v>
      </c>
    </row>
    <row r="123" spans="1:13" ht="18" thickBot="1">
      <c r="A123" s="235" t="s">
        <v>251</v>
      </c>
      <c r="B123" s="300">
        <f>B122/$B$122</f>
        <v>1</v>
      </c>
      <c r="C123" s="300">
        <f t="shared" ref="C123:I123" si="36">C122/$B$122</f>
        <v>4.2322222087724508E-2</v>
      </c>
      <c r="D123" s="300">
        <f t="shared" si="36"/>
        <v>6.5594341365860398E-2</v>
      </c>
      <c r="E123" s="300">
        <f t="shared" si="36"/>
        <v>0.41524673232381676</v>
      </c>
      <c r="F123" s="300">
        <f t="shared" si="36"/>
        <v>0.25</v>
      </c>
      <c r="G123" s="300">
        <f t="shared" si="36"/>
        <v>0.18236566107534577</v>
      </c>
      <c r="H123" s="300">
        <f t="shared" si="36"/>
        <v>3.5194226143022339E-2</v>
      </c>
      <c r="I123" s="300">
        <f t="shared" si="36"/>
        <v>9.2768170042300761E-3</v>
      </c>
      <c r="J123" s="301">
        <f>J122/$B$122</f>
        <v>0.15238760660083733</v>
      </c>
      <c r="K123" s="301">
        <f>K122/$B$122</f>
        <v>0.11719338045781499</v>
      </c>
      <c r="L123" s="506"/>
      <c r="M123" s="508"/>
    </row>
    <row r="126" spans="1:13" ht="24">
      <c r="A126" s="483" t="s">
        <v>252</v>
      </c>
      <c r="B126" s="484"/>
      <c r="C126" s="484"/>
      <c r="D126" s="484"/>
      <c r="E126" s="484"/>
      <c r="F126" s="484"/>
      <c r="G126" s="484"/>
      <c r="H126" s="484"/>
      <c r="I126" s="484"/>
      <c r="J126" s="16"/>
      <c r="K126" s="16"/>
      <c r="L126" s="16"/>
    </row>
    <row r="127" spans="1:13" ht="34" customHeight="1">
      <c r="A127" s="469" t="s">
        <v>68</v>
      </c>
      <c r="B127" s="470"/>
      <c r="C127" s="470"/>
      <c r="D127" s="471">
        <f>I70</f>
        <v>1618068306958.0754</v>
      </c>
      <c r="E127" s="471"/>
      <c r="F127" s="89">
        <f>SUM(F128:F131)</f>
        <v>1</v>
      </c>
      <c r="G127" s="445" t="s">
        <v>205</v>
      </c>
      <c r="H127" s="445" t="s">
        <v>206</v>
      </c>
      <c r="I127" s="445" t="s">
        <v>207</v>
      </c>
    </row>
    <row r="128" spans="1:13" ht="19">
      <c r="A128" s="469" t="s">
        <v>69</v>
      </c>
      <c r="B128" s="470"/>
      <c r="C128" s="470"/>
      <c r="D128" s="471">
        <f>I82</f>
        <v>671897577141.07129</v>
      </c>
      <c r="E128" s="471"/>
      <c r="F128" s="89">
        <f>D128/D$127</f>
        <v>0.41524673232381676</v>
      </c>
      <c r="G128" s="446"/>
      <c r="H128" s="446"/>
      <c r="I128" s="446"/>
    </row>
    <row r="129" spans="1:12" ht="19">
      <c r="A129" s="469" t="s">
        <v>70</v>
      </c>
      <c r="B129" s="470"/>
      <c r="C129" s="470"/>
      <c r="D129" s="471">
        <f>I99</f>
        <v>404517076739.51886</v>
      </c>
      <c r="E129" s="471"/>
      <c r="F129" s="89">
        <f t="shared" ref="F129:F139" si="37">D129/D$127</f>
        <v>0.25</v>
      </c>
      <c r="G129" s="446"/>
      <c r="H129" s="446"/>
      <c r="I129" s="446"/>
    </row>
    <row r="130" spans="1:12" ht="19">
      <c r="A130" s="469" t="s">
        <v>71</v>
      </c>
      <c r="B130" s="470"/>
      <c r="C130" s="470"/>
      <c r="D130" s="471">
        <f>I111</f>
        <v>295080096463.47498</v>
      </c>
      <c r="E130" s="471"/>
      <c r="F130" s="89">
        <f t="shared" si="37"/>
        <v>0.1823656610753458</v>
      </c>
      <c r="G130" s="447"/>
      <c r="H130" s="447"/>
      <c r="I130" s="447"/>
    </row>
    <row r="131" spans="1:12" ht="19">
      <c r="A131" s="472" t="s">
        <v>74</v>
      </c>
      <c r="B131" s="473"/>
      <c r="C131" s="473"/>
      <c r="D131" s="474">
        <f>+D127-D128-D129-D130</f>
        <v>246573556614.01031</v>
      </c>
      <c r="E131" s="474"/>
      <c r="F131" s="260">
        <f t="shared" si="37"/>
        <v>0.15238760660083747</v>
      </c>
      <c r="G131" s="261">
        <f>+D131/'Cuadro General'!$D$13</f>
        <v>2908004.9885290586</v>
      </c>
      <c r="H131" s="261">
        <f>D131/'Cuadro General'!D22</f>
        <v>3519082.0419512531</v>
      </c>
      <c r="I131" s="261">
        <f>D131/'Cuadro General'!D46</f>
        <v>8603652.3643860389</v>
      </c>
    </row>
    <row r="132" spans="1:12" ht="19">
      <c r="A132" s="469" t="s">
        <v>72</v>
      </c>
      <c r="B132" s="470"/>
      <c r="C132" s="470"/>
      <c r="D132" s="471">
        <f>E59</f>
        <v>56946661910</v>
      </c>
      <c r="E132" s="471"/>
      <c r="F132" s="89">
        <f t="shared" si="37"/>
        <v>3.5194226143059545E-2</v>
      </c>
      <c r="G132" s="262">
        <f>+D132/'Cuadro General'!$D$13</f>
        <v>671609.63725559635</v>
      </c>
      <c r="H132" s="274">
        <f>D132/'Cuadro General'!D22</f>
        <v>812739.11942738993</v>
      </c>
      <c r="I132" s="262">
        <f>D132/'Cuadro General'!D46</f>
        <v>1987030.9254322727</v>
      </c>
      <c r="L132" s="69"/>
    </row>
    <row r="133" spans="1:12" ht="19">
      <c r="A133" s="472" t="s">
        <v>75</v>
      </c>
      <c r="B133" s="473"/>
      <c r="C133" s="473"/>
      <c r="D133" s="474">
        <f>+D131-D132</f>
        <v>189626894704.01031</v>
      </c>
      <c r="E133" s="474"/>
      <c r="F133" s="260">
        <f t="shared" si="37"/>
        <v>0.11719338045777791</v>
      </c>
      <c r="G133" s="261">
        <f>+D133/'Cuadro General'!$D$13</f>
        <v>2236395.3512734622</v>
      </c>
      <c r="H133" s="261">
        <f>D133/'Cuadro General'!D22</f>
        <v>2706342.9225238627</v>
      </c>
      <c r="I133" s="261">
        <f>D133/'Cuadro General'!D46</f>
        <v>6616621.4389537657</v>
      </c>
    </row>
    <row r="134" spans="1:12" ht="19">
      <c r="A134" s="469" t="s">
        <v>73</v>
      </c>
      <c r="B134" s="470"/>
      <c r="C134" s="470"/>
      <c r="D134" s="471">
        <f>F17</f>
        <v>174616371120</v>
      </c>
      <c r="E134" s="471"/>
      <c r="F134" s="89">
        <f t="shared" si="37"/>
        <v>0.10791656345353803</v>
      </c>
      <c r="G134" s="262">
        <f>+D134/'Cuadro General'!$D$13</f>
        <v>2059366.3216315431</v>
      </c>
      <c r="H134" s="262">
        <f>D134/'Cuadro General'!D22</f>
        <v>2492113.6892266902</v>
      </c>
      <c r="I134" s="262">
        <f>D134/'Cuadro General'!D46</f>
        <v>6092861.5982892262</v>
      </c>
    </row>
    <row r="135" spans="1:12" ht="19">
      <c r="A135" s="469" t="s">
        <v>166</v>
      </c>
      <c r="B135" s="470"/>
      <c r="C135" s="470"/>
      <c r="D135" s="471">
        <f>G17</f>
        <v>15010523584.010313</v>
      </c>
      <c r="E135" s="471"/>
      <c r="F135" s="89">
        <f>D135/D$127</f>
        <v>9.2768170042398825E-3</v>
      </c>
      <c r="G135" s="262">
        <f>+D135/'Cuadro General'!$D$13</f>
        <v>177029.02964191919</v>
      </c>
      <c r="H135" s="262">
        <f>D135/'Cuadro General'!D22</f>
        <v>214229.23329717276</v>
      </c>
      <c r="I135" s="262">
        <f>D135/'Cuadro General'!D46</f>
        <v>523759.84066453896</v>
      </c>
    </row>
    <row r="136" spans="1:12" ht="19">
      <c r="A136" s="469" t="s">
        <v>167</v>
      </c>
      <c r="B136" s="470"/>
      <c r="C136" s="470"/>
      <c r="D136" s="479">
        <f>+D133-D134-D135</f>
        <v>0</v>
      </c>
      <c r="E136" s="479"/>
      <c r="F136" s="89">
        <f t="shared" si="37"/>
        <v>0</v>
      </c>
      <c r="G136" s="442"/>
      <c r="H136" s="442"/>
      <c r="I136" s="442"/>
    </row>
    <row r="137" spans="1:12" ht="19">
      <c r="A137" s="469" t="s">
        <v>168</v>
      </c>
      <c r="B137" s="470"/>
      <c r="C137" s="470"/>
      <c r="D137" s="480">
        <f>(D133-D134)/D134</f>
        <v>8.5962865267053171E-2</v>
      </c>
      <c r="E137" s="480"/>
      <c r="F137" s="89"/>
      <c r="G137" s="443"/>
      <c r="H137" s="443"/>
      <c r="I137" s="443"/>
    </row>
    <row r="138" spans="1:12" ht="19">
      <c r="A138" s="481" t="s">
        <v>169</v>
      </c>
      <c r="B138" s="482"/>
      <c r="C138" s="259">
        <v>0.4</v>
      </c>
      <c r="D138" s="471">
        <f>D136*C138</f>
        <v>0</v>
      </c>
      <c r="E138" s="471"/>
      <c r="F138" s="89">
        <f t="shared" si="37"/>
        <v>0</v>
      </c>
      <c r="G138" s="444"/>
      <c r="H138" s="444"/>
      <c r="I138" s="444"/>
    </row>
    <row r="139" spans="1:12" ht="32" customHeight="1" thickBot="1">
      <c r="A139" s="475" t="s">
        <v>170</v>
      </c>
      <c r="B139" s="476"/>
      <c r="C139" s="476"/>
      <c r="D139" s="477">
        <f>D134+(D136-D138)</f>
        <v>174616371120</v>
      </c>
      <c r="E139" s="478"/>
      <c r="F139" s="176">
        <f t="shared" si="37"/>
        <v>0.10791656345353803</v>
      </c>
      <c r="G139" s="263">
        <f>+D139/'Cuadro General'!$D$13</f>
        <v>2059366.3216315431</v>
      </c>
      <c r="H139" s="263">
        <f>D139/'Cuadro General'!D22</f>
        <v>2492113.6892266902</v>
      </c>
      <c r="I139" s="263">
        <f>D139/'Cuadro General'!D46</f>
        <v>6092861.5982892262</v>
      </c>
    </row>
    <row r="140" spans="1:12">
      <c r="A140" s="30"/>
      <c r="B140" s="30"/>
      <c r="C140" s="30"/>
      <c r="D140" s="31"/>
      <c r="E140" s="31"/>
      <c r="F140" s="32"/>
      <c r="G140" s="33"/>
    </row>
  </sheetData>
  <mergeCells count="95">
    <mergeCell ref="A103:J103"/>
    <mergeCell ref="A115:M115"/>
    <mergeCell ref="L122:L123"/>
    <mergeCell ref="M122:M123"/>
    <mergeCell ref="N34:O34"/>
    <mergeCell ref="A54:E54"/>
    <mergeCell ref="J104:J105"/>
    <mergeCell ref="J70:J71"/>
    <mergeCell ref="J75:J76"/>
    <mergeCell ref="J82:J83"/>
    <mergeCell ref="J87:J93"/>
    <mergeCell ref="J99:J100"/>
    <mergeCell ref="A33:P33"/>
    <mergeCell ref="A34:A35"/>
    <mergeCell ref="B34:C34"/>
    <mergeCell ref="D34:E34"/>
    <mergeCell ref="F34:G34"/>
    <mergeCell ref="J34:K34"/>
    <mergeCell ref="L34:M34"/>
    <mergeCell ref="H34:I34"/>
    <mergeCell ref="P34:P35"/>
    <mergeCell ref="J21:J23"/>
    <mergeCell ref="J24:J25"/>
    <mergeCell ref="J27:J28"/>
    <mergeCell ref="B21:B23"/>
    <mergeCell ref="B24:B25"/>
    <mergeCell ref="B27:B28"/>
    <mergeCell ref="D21:D23"/>
    <mergeCell ref="D24:D25"/>
    <mergeCell ref="D27:D28"/>
    <mergeCell ref="G21:G23"/>
    <mergeCell ref="G24:G25"/>
    <mergeCell ref="G27:G28"/>
    <mergeCell ref="F21:F23"/>
    <mergeCell ref="E24:E25"/>
    <mergeCell ref="F24:F25"/>
    <mergeCell ref="E27:E28"/>
    <mergeCell ref="F27:F28"/>
    <mergeCell ref="A131:C131"/>
    <mergeCell ref="D131:E131"/>
    <mergeCell ref="A132:C132"/>
    <mergeCell ref="D132:E132"/>
    <mergeCell ref="A127:C127"/>
    <mergeCell ref="D127:E127"/>
    <mergeCell ref="A126:I126"/>
    <mergeCell ref="A74:J74"/>
    <mergeCell ref="I75:I76"/>
    <mergeCell ref="I82:I83"/>
    <mergeCell ref="I87:I93"/>
    <mergeCell ref="A86:J86"/>
    <mergeCell ref="I104:I105"/>
    <mergeCell ref="A44:G44"/>
    <mergeCell ref="J111:J112"/>
    <mergeCell ref="A133:C133"/>
    <mergeCell ref="D133:E133"/>
    <mergeCell ref="A139:C139"/>
    <mergeCell ref="D139:E139"/>
    <mergeCell ref="A134:C134"/>
    <mergeCell ref="D134:E134"/>
    <mergeCell ref="A136:C136"/>
    <mergeCell ref="D136:E136"/>
    <mergeCell ref="A137:C137"/>
    <mergeCell ref="D137:E137"/>
    <mergeCell ref="A138:B138"/>
    <mergeCell ref="D138:E138"/>
    <mergeCell ref="A135:C135"/>
    <mergeCell ref="D135:E135"/>
    <mergeCell ref="A128:C128"/>
    <mergeCell ref="D128:E128"/>
    <mergeCell ref="A129:C129"/>
    <mergeCell ref="D129:E129"/>
    <mergeCell ref="A130:C130"/>
    <mergeCell ref="D130:E130"/>
    <mergeCell ref="A2:H2"/>
    <mergeCell ref="A19:J19"/>
    <mergeCell ref="A30:B30"/>
    <mergeCell ref="I63:I64"/>
    <mergeCell ref="I70:I71"/>
    <mergeCell ref="A62:J62"/>
    <mergeCell ref="A55:B55"/>
    <mergeCell ref="A56:B56"/>
    <mergeCell ref="A57:B57"/>
    <mergeCell ref="A58:B58"/>
    <mergeCell ref="A59:B59"/>
    <mergeCell ref="I21:I23"/>
    <mergeCell ref="I24:I25"/>
    <mergeCell ref="I27:I28"/>
    <mergeCell ref="J63:J64"/>
    <mergeCell ref="E21:E23"/>
    <mergeCell ref="G136:G138"/>
    <mergeCell ref="H127:H130"/>
    <mergeCell ref="H136:H138"/>
    <mergeCell ref="I127:I130"/>
    <mergeCell ref="I136:I138"/>
    <mergeCell ref="G127:G130"/>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85B19-AC99-2349-B8A7-189A21F3DA47}">
  <dimension ref="A5:AP49"/>
  <sheetViews>
    <sheetView topLeftCell="A5" workbookViewId="0">
      <pane xSplit="1" topLeftCell="P1" activePane="topRight" state="frozen"/>
      <selection activeCell="A3" sqref="A3"/>
      <selection pane="topRight" activeCell="AP49" activeCellId="9" sqref="X49 Z49 AB49 AD49 AF49 AH49 AJ49 AL49 AN49 AP49"/>
    </sheetView>
  </sheetViews>
  <sheetFormatPr baseColWidth="10" defaultRowHeight="16"/>
  <cols>
    <col min="1" max="1" width="63.6640625" style="277" customWidth="1"/>
    <col min="2" max="2" width="9" bestFit="1" customWidth="1"/>
    <col min="3" max="3" width="8.5" bestFit="1" customWidth="1"/>
    <col min="4" max="4" width="7.6640625" bestFit="1" customWidth="1"/>
    <col min="5" max="8" width="6.6640625" bestFit="1" customWidth="1"/>
    <col min="9" max="9" width="4.1640625" bestFit="1" customWidth="1"/>
    <col min="10" max="10" width="6.6640625" bestFit="1" customWidth="1"/>
    <col min="11" max="11" width="5.6640625" bestFit="1" customWidth="1"/>
    <col min="12" max="21" width="4.83203125" customWidth="1"/>
    <col min="22" max="22" width="2.5" customWidth="1"/>
    <col min="23" max="23" width="14.33203125" bestFit="1" customWidth="1"/>
    <col min="24" max="27" width="15.33203125" bestFit="1" customWidth="1"/>
    <col min="28" max="36" width="16.5" bestFit="1" customWidth="1"/>
    <col min="37" max="37" width="15.33203125" bestFit="1" customWidth="1"/>
    <col min="38" max="41" width="16.5" bestFit="1" customWidth="1"/>
    <col min="42" max="42" width="15.33203125" bestFit="1" customWidth="1"/>
    <col min="46" max="46" width="17.33203125" bestFit="1" customWidth="1"/>
  </cols>
  <sheetData>
    <row r="5" spans="1:42">
      <c r="A5" s="278"/>
      <c r="B5" s="278"/>
      <c r="C5" s="278"/>
      <c r="D5" s="278"/>
      <c r="E5" s="514" t="s">
        <v>229</v>
      </c>
      <c r="F5" s="514"/>
      <c r="G5" s="514"/>
      <c r="H5" s="514"/>
      <c r="I5" s="514"/>
      <c r="J5" s="514"/>
      <c r="K5" s="514"/>
      <c r="L5" s="523" t="s">
        <v>235</v>
      </c>
      <c r="M5" s="524"/>
      <c r="N5" s="524"/>
      <c r="O5" s="524"/>
      <c r="P5" s="524"/>
      <c r="Q5" s="524"/>
      <c r="R5" s="524"/>
      <c r="S5" s="524"/>
      <c r="T5" s="524"/>
      <c r="U5" s="525"/>
      <c r="V5" s="292"/>
      <c r="W5" s="514" t="s">
        <v>235</v>
      </c>
      <c r="X5" s="514"/>
      <c r="Y5" s="514"/>
      <c r="Z5" s="514"/>
      <c r="AA5" s="514"/>
      <c r="AB5" s="514"/>
      <c r="AC5" s="514"/>
      <c r="AD5" s="514"/>
      <c r="AE5" s="514"/>
      <c r="AF5" s="514"/>
      <c r="AG5" s="514"/>
      <c r="AH5" s="514"/>
      <c r="AI5" s="514"/>
      <c r="AJ5" s="514"/>
      <c r="AK5" s="514"/>
      <c r="AL5" s="514"/>
      <c r="AM5" s="514"/>
      <c r="AN5" s="514"/>
      <c r="AO5" s="514"/>
      <c r="AP5" s="514"/>
    </row>
    <row r="6" spans="1:42" s="276" customFormat="1" ht="51" customHeight="1">
      <c r="A6" s="528"/>
      <c r="B6" s="538" t="s">
        <v>234</v>
      </c>
      <c r="C6" s="538" t="s">
        <v>230</v>
      </c>
      <c r="D6" s="530" t="s">
        <v>255</v>
      </c>
      <c r="E6" s="532" t="s">
        <v>222</v>
      </c>
      <c r="F6" s="534" t="s">
        <v>223</v>
      </c>
      <c r="G6" s="536" t="s">
        <v>224</v>
      </c>
      <c r="H6" s="540" t="s">
        <v>225</v>
      </c>
      <c r="I6" s="515" t="s">
        <v>226</v>
      </c>
      <c r="J6" s="517" t="s">
        <v>227</v>
      </c>
      <c r="K6" s="519" t="s">
        <v>228</v>
      </c>
      <c r="L6" s="526">
        <v>1</v>
      </c>
      <c r="M6" s="526">
        <v>2</v>
      </c>
      <c r="N6" s="526">
        <v>3</v>
      </c>
      <c r="O6" s="526">
        <v>4</v>
      </c>
      <c r="P6" s="526">
        <v>5</v>
      </c>
      <c r="Q6" s="526">
        <v>6</v>
      </c>
      <c r="R6" s="526">
        <v>7</v>
      </c>
      <c r="S6" s="526">
        <v>8</v>
      </c>
      <c r="T6" s="526">
        <v>9</v>
      </c>
      <c r="U6" s="526">
        <v>10</v>
      </c>
      <c r="V6" s="293"/>
      <c r="W6" s="460">
        <v>1</v>
      </c>
      <c r="X6" s="461"/>
      <c r="Y6" s="460">
        <v>2</v>
      </c>
      <c r="Z6" s="461"/>
      <c r="AA6" s="460">
        <v>3</v>
      </c>
      <c r="AB6" s="461"/>
      <c r="AC6" s="460">
        <v>4</v>
      </c>
      <c r="AD6" s="461"/>
      <c r="AE6" s="460">
        <v>5</v>
      </c>
      <c r="AF6" s="461"/>
      <c r="AG6" s="460">
        <v>6</v>
      </c>
      <c r="AH6" s="461"/>
      <c r="AI6" s="460">
        <v>7</v>
      </c>
      <c r="AJ6" s="461"/>
      <c r="AK6" s="460">
        <v>8</v>
      </c>
      <c r="AL6" s="461"/>
      <c r="AM6" s="460">
        <v>9</v>
      </c>
      <c r="AN6" s="461"/>
      <c r="AO6" s="460">
        <v>10</v>
      </c>
      <c r="AP6" s="461"/>
    </row>
    <row r="7" spans="1:42" s="276" customFormat="1">
      <c r="A7" s="529"/>
      <c r="B7" s="539"/>
      <c r="C7" s="539"/>
      <c r="D7" s="531"/>
      <c r="E7" s="533"/>
      <c r="F7" s="535"/>
      <c r="G7" s="537"/>
      <c r="H7" s="541"/>
      <c r="I7" s="516"/>
      <c r="J7" s="518"/>
      <c r="K7" s="520"/>
      <c r="L7" s="527"/>
      <c r="M7" s="527"/>
      <c r="N7" s="527"/>
      <c r="O7" s="527"/>
      <c r="P7" s="527"/>
      <c r="Q7" s="527"/>
      <c r="R7" s="527"/>
      <c r="S7" s="527"/>
      <c r="T7" s="527"/>
      <c r="U7" s="527"/>
      <c r="V7" s="293"/>
      <c r="W7" s="184" t="s">
        <v>236</v>
      </c>
      <c r="X7" s="185" t="s">
        <v>237</v>
      </c>
      <c r="Y7" s="184" t="s">
        <v>236</v>
      </c>
      <c r="Z7" s="185" t="s">
        <v>237</v>
      </c>
      <c r="AA7" s="184" t="s">
        <v>236</v>
      </c>
      <c r="AB7" s="185" t="s">
        <v>237</v>
      </c>
      <c r="AC7" s="184" t="s">
        <v>236</v>
      </c>
      <c r="AD7" s="185" t="s">
        <v>237</v>
      </c>
      <c r="AE7" s="184" t="s">
        <v>236</v>
      </c>
      <c r="AF7" s="185" t="s">
        <v>237</v>
      </c>
      <c r="AG7" s="184" t="s">
        <v>236</v>
      </c>
      <c r="AH7" s="185" t="s">
        <v>237</v>
      </c>
      <c r="AI7" s="184" t="s">
        <v>236</v>
      </c>
      <c r="AJ7" s="185" t="s">
        <v>237</v>
      </c>
      <c r="AK7" s="184" t="s">
        <v>236</v>
      </c>
      <c r="AL7" s="185" t="s">
        <v>237</v>
      </c>
      <c r="AM7" s="184" t="s">
        <v>236</v>
      </c>
      <c r="AN7" s="185" t="s">
        <v>237</v>
      </c>
      <c r="AO7" s="184" t="s">
        <v>236</v>
      </c>
      <c r="AP7" s="185" t="s">
        <v>237</v>
      </c>
    </row>
    <row r="8" spans="1:42" ht="19">
      <c r="A8" s="288" t="s">
        <v>233</v>
      </c>
      <c r="B8" s="289"/>
      <c r="C8" s="291">
        <f t="shared" ref="C8:K8" si="0">SUM(C9:C20)</f>
        <v>2578.3344766312439</v>
      </c>
      <c r="D8" s="290">
        <f t="shared" si="0"/>
        <v>216068.35856633485</v>
      </c>
      <c r="E8" s="290">
        <f t="shared" si="0"/>
        <v>47339.431500000013</v>
      </c>
      <c r="F8" s="290">
        <f t="shared" si="0"/>
        <v>93954.546298643298</v>
      </c>
      <c r="G8" s="290">
        <f t="shared" si="0"/>
        <v>19488.240419856062</v>
      </c>
      <c r="H8" s="290">
        <f t="shared" si="0"/>
        <v>14616.177937835479</v>
      </c>
      <c r="I8" s="290">
        <f t="shared" si="0"/>
        <v>0</v>
      </c>
      <c r="J8" s="290">
        <f t="shared" si="0"/>
        <v>37727.507999999987</v>
      </c>
      <c r="K8" s="290">
        <f t="shared" si="0"/>
        <v>2942.4544100000003</v>
      </c>
      <c r="L8" s="287"/>
      <c r="M8" s="287"/>
      <c r="N8" s="287"/>
      <c r="O8" s="287"/>
      <c r="P8" s="287"/>
      <c r="Q8" s="287"/>
      <c r="R8" s="287"/>
      <c r="S8" s="287"/>
      <c r="T8" s="287"/>
      <c r="U8" s="287"/>
      <c r="V8" s="292"/>
      <c r="W8" s="304">
        <f>SUM(W9:W20)</f>
        <v>6592944216.1827583</v>
      </c>
      <c r="X8" s="304">
        <f t="shared" ref="X8:AP8" si="1">SUM(X9:X20)</f>
        <v>18394881973.585304</v>
      </c>
      <c r="Y8" s="304">
        <f t="shared" si="1"/>
        <v>17645553201.298271</v>
      </c>
      <c r="Z8" s="304">
        <f t="shared" si="1"/>
        <v>36733463198.155106</v>
      </c>
      <c r="AA8" s="304">
        <f t="shared" si="1"/>
        <v>79387148373.04216</v>
      </c>
      <c r="AB8" s="304">
        <f t="shared" si="1"/>
        <v>112874664348.83572</v>
      </c>
      <c r="AC8" s="304">
        <f t="shared" si="1"/>
        <v>104169281348.2213</v>
      </c>
      <c r="AD8" s="304">
        <f t="shared" si="1"/>
        <v>160708467718.15707</v>
      </c>
      <c r="AE8" s="304">
        <f t="shared" si="1"/>
        <v>243172093218.97336</v>
      </c>
      <c r="AF8" s="304">
        <f t="shared" si="1"/>
        <v>168842904787.39758</v>
      </c>
      <c r="AG8" s="304">
        <f t="shared" si="1"/>
        <v>242287902489.57602</v>
      </c>
      <c r="AH8" s="304">
        <f t="shared" si="1"/>
        <v>187062335907.54126</v>
      </c>
      <c r="AI8" s="304">
        <f t="shared" si="1"/>
        <v>248023058998.28134</v>
      </c>
      <c r="AJ8" s="304">
        <f t="shared" si="1"/>
        <v>217156200018.31482</v>
      </c>
      <c r="AK8" s="304">
        <f t="shared" si="1"/>
        <v>77802593745.000015</v>
      </c>
      <c r="AL8" s="304">
        <f t="shared" si="1"/>
        <v>146731331018.91464</v>
      </c>
      <c r="AM8" s="304">
        <f t="shared" si="1"/>
        <v>218400705300.00006</v>
      </c>
      <c r="AN8" s="304">
        <f t="shared" si="1"/>
        <v>178424011272.57361</v>
      </c>
      <c r="AO8" s="304">
        <f t="shared" si="1"/>
        <v>380587026067.5</v>
      </c>
      <c r="AP8" s="304">
        <f t="shared" si="1"/>
        <v>96059950251.125092</v>
      </c>
    </row>
    <row r="9" spans="1:42">
      <c r="A9" s="513" t="s">
        <v>129</v>
      </c>
      <c r="B9" s="56" t="s">
        <v>212</v>
      </c>
      <c r="C9" s="279">
        <f>(('Cuadro General'!I91)+('Reparto C&amp;B'!F36*'Cuadro General'!I92))/6</f>
        <v>241.16088708407491</v>
      </c>
      <c r="D9" s="280">
        <f>(('Cuadro General'!E91*'Cuadro General'!F91)+('Reparto C&amp;B'!F36*'Cuadro General'!E92*'Cuadro General'!F92))/6</f>
        <v>16700.725551055806</v>
      </c>
      <c r="E9" s="280"/>
      <c r="F9" s="281">
        <f>('Cuadro General'!E91*'Cuadro General'!F91/6)</f>
        <v>15659.091049773882</v>
      </c>
      <c r="G9" s="281">
        <f>('Reparto C&amp;B'!F36*'Cuadro General'!E92*'Cuadro General'!F92)/6</f>
        <v>1041.6345012819218</v>
      </c>
      <c r="H9" s="281"/>
      <c r="I9" s="281"/>
      <c r="J9" s="281"/>
      <c r="K9" s="281"/>
      <c r="L9" s="282"/>
      <c r="M9" s="282"/>
      <c r="N9" s="283">
        <v>1</v>
      </c>
      <c r="O9" s="283">
        <v>1</v>
      </c>
      <c r="P9" s="283">
        <v>1</v>
      </c>
      <c r="Q9" s="282"/>
      <c r="R9" s="282"/>
      <c r="S9" s="282"/>
      <c r="T9" s="282"/>
      <c r="U9" s="282"/>
      <c r="V9" s="292"/>
      <c r="W9" s="302"/>
      <c r="X9" s="302"/>
      <c r="Y9" s="302"/>
      <c r="Z9" s="302"/>
      <c r="AA9" s="545">
        <f>'Reparto C&amp;B'!B117*10%/6</f>
        <v>12158604660.948668</v>
      </c>
      <c r="AB9" s="545">
        <f>(('Reparto C&amp;B'!C117*50%)+('Reparto C&amp;B'!D117*50%))/2+(('Reparto C&amp;B'!E117*10%)+('Reparto C&amp;B'!F117*30%)+('Reparto C&amp;B'!H117*20%)+('Reparto C&amp;B'!I117*50%))/6</f>
        <v>38973113556.487442</v>
      </c>
      <c r="AC9" s="545">
        <f>'Reparto C&amp;B'!B117*20%/6</f>
        <v>24317209321.897335</v>
      </c>
      <c r="AD9" s="545">
        <f>(('Reparto C&amp;B'!E117*50%)+('Reparto C&amp;B'!F117*30%)+('Reparto C&amp;B'!H117*50%)+('Reparto C&amp;B'!I117*25%))/6</f>
        <v>35759284436.940979</v>
      </c>
      <c r="AE9" s="545">
        <f>'Reparto C&amp;B'!B117*70%/6</f>
        <v>85110232626.640671</v>
      </c>
      <c r="AF9" s="545">
        <f>(('Reparto C&amp;B'!E117*40%)+('Reparto C&amp;B'!F117*40%)+('Reparto C&amp;B'!H117*30%)+('Reparto C&amp;B'!I117*25%))/6</f>
        <v>32980570875.647221</v>
      </c>
      <c r="AG9" s="302"/>
      <c r="AH9" s="302"/>
      <c r="AI9" s="302"/>
      <c r="AJ9" s="302"/>
      <c r="AK9" s="302"/>
      <c r="AL9" s="302"/>
      <c r="AM9" s="302"/>
      <c r="AN9" s="302"/>
      <c r="AO9" s="302"/>
      <c r="AP9" s="302"/>
    </row>
    <row r="10" spans="1:42">
      <c r="A10" s="513"/>
      <c r="B10" s="56" t="s">
        <v>213</v>
      </c>
      <c r="C10" s="279">
        <f>(('Cuadro General'!I91)+('Reparto C&amp;B'!F36*'Cuadro General'!I92))/6</f>
        <v>241.16088708407491</v>
      </c>
      <c r="D10" s="280">
        <f>(('Cuadro General'!E91*'Cuadro General'!F91)+('Reparto C&amp;B'!F36*'Cuadro General'!E92*'Cuadro General'!F92))/6</f>
        <v>16700.725551055806</v>
      </c>
      <c r="E10" s="280"/>
      <c r="F10" s="281">
        <f>('Cuadro General'!E91*'Cuadro General'!F91/6)</f>
        <v>15659.091049773882</v>
      </c>
      <c r="G10" s="281">
        <f>('Reparto C&amp;B'!F36*'Cuadro General'!E92*'Cuadro General'!F92)/6</f>
        <v>1041.6345012819218</v>
      </c>
      <c r="H10" s="281"/>
      <c r="I10" s="281"/>
      <c r="J10" s="281"/>
      <c r="K10" s="281"/>
      <c r="L10" s="282"/>
      <c r="M10" s="282"/>
      <c r="N10" s="283">
        <v>1</v>
      </c>
      <c r="O10" s="283">
        <v>1</v>
      </c>
      <c r="P10" s="283">
        <v>1</v>
      </c>
      <c r="Q10" s="282"/>
      <c r="R10" s="282"/>
      <c r="S10" s="282"/>
      <c r="T10" s="282"/>
      <c r="U10" s="282"/>
      <c r="V10" s="292"/>
      <c r="W10" s="302"/>
      <c r="X10" s="302"/>
      <c r="Y10" s="302"/>
      <c r="Z10" s="302"/>
      <c r="AA10" s="545">
        <f>'Reparto C&amp;B'!B117*10%/6</f>
        <v>12158604660.948668</v>
      </c>
      <c r="AB10" s="545">
        <f>(('Reparto C&amp;B'!C117*50%)+('Reparto C&amp;B'!D117*50%))/2+(('Reparto C&amp;B'!E117*10%)+('Reparto C&amp;B'!F117*30%)+('Reparto C&amp;B'!H117*20%)+('Reparto C&amp;B'!I117*50%))/6</f>
        <v>38973113556.487442</v>
      </c>
      <c r="AC10" s="545">
        <f>'Reparto C&amp;B'!B117*20%/6</f>
        <v>24317209321.897335</v>
      </c>
      <c r="AD10" s="545">
        <f>(('Reparto C&amp;B'!E117*50%)+('Reparto C&amp;B'!F117*30%)+('Reparto C&amp;B'!H117*50%)+('Reparto C&amp;B'!I117*25%))/6</f>
        <v>35759284436.940979</v>
      </c>
      <c r="AE10" s="545">
        <f>'Reparto C&amp;B'!B117*70%/6</f>
        <v>85110232626.640671</v>
      </c>
      <c r="AF10" s="545">
        <f>(('Reparto C&amp;B'!E117*40%)+('Reparto C&amp;B'!F117*40%)+('Reparto C&amp;B'!H117*30%)+('Reparto C&amp;B'!I117*25%))/6</f>
        <v>32980570875.647221</v>
      </c>
      <c r="AG10" s="302"/>
      <c r="AH10" s="302"/>
      <c r="AI10" s="302"/>
      <c r="AJ10" s="302"/>
      <c r="AK10" s="302"/>
      <c r="AL10" s="302"/>
      <c r="AM10" s="302"/>
      <c r="AN10" s="302"/>
      <c r="AO10" s="302"/>
      <c r="AP10" s="302"/>
    </row>
    <row r="11" spans="1:42">
      <c r="A11" s="513"/>
      <c r="B11" s="56" t="s">
        <v>214</v>
      </c>
      <c r="C11" s="279">
        <f>(('Cuadro General'!I91)+('Reparto C&amp;B'!F36*'Cuadro General'!I92))/6</f>
        <v>241.16088708407491</v>
      </c>
      <c r="D11" s="280">
        <f>(('Cuadro General'!E91*'Cuadro General'!F91)+('Reparto C&amp;B'!F36*'Cuadro General'!E92*'Cuadro General'!F92))/6</f>
        <v>16700.725551055806</v>
      </c>
      <c r="E11" s="280"/>
      <c r="F11" s="281">
        <f>('Cuadro General'!E91*'Cuadro General'!F91/6)</f>
        <v>15659.091049773882</v>
      </c>
      <c r="G11" s="281">
        <f>('Reparto C&amp;B'!F36*'Cuadro General'!E92*'Cuadro General'!F92)/6</f>
        <v>1041.6345012819218</v>
      </c>
      <c r="H11" s="281"/>
      <c r="I11" s="281"/>
      <c r="J11" s="281"/>
      <c r="K11" s="281"/>
      <c r="L11" s="282"/>
      <c r="M11" s="282"/>
      <c r="N11" s="282"/>
      <c r="O11" s="283">
        <v>1</v>
      </c>
      <c r="P11" s="283">
        <v>1</v>
      </c>
      <c r="Q11" s="283">
        <v>1</v>
      </c>
      <c r="R11" s="282"/>
      <c r="S11" s="282"/>
      <c r="T11" s="282"/>
      <c r="U11" s="282"/>
      <c r="V11" s="292"/>
      <c r="W11" s="302"/>
      <c r="X11" s="302"/>
      <c r="Y11" s="302"/>
      <c r="Z11" s="302"/>
      <c r="AA11" s="302"/>
      <c r="AB11" s="302"/>
      <c r="AC11" s="545">
        <f>'Reparto C&amp;B'!B117*10%/6</f>
        <v>12158604660.948668</v>
      </c>
      <c r="AD11" s="545">
        <f>(('Reparto C&amp;B'!C117*50%)+('Reparto C&amp;B'!D117*50%))/2+(('Reparto C&amp;B'!E117*10%)+('Reparto C&amp;B'!F117*30%)+('Reparto C&amp;B'!H117*20%)+('Reparto C&amp;B'!I117*50%))/6</f>
        <v>38973113556.487442</v>
      </c>
      <c r="AE11" s="545">
        <f>'Reparto C&amp;B'!B117*20%/6</f>
        <v>24317209321.897335</v>
      </c>
      <c r="AF11" s="545">
        <f>(('Reparto C&amp;B'!E117*50%)+('Reparto C&amp;B'!F117*30%)+('Reparto C&amp;B'!H117*50%)+('Reparto C&amp;B'!I117*25%))/6</f>
        <v>35759284436.940979</v>
      </c>
      <c r="AG11" s="545">
        <f>'Reparto C&amp;B'!B117*70%/6</f>
        <v>85110232626.640671</v>
      </c>
      <c r="AH11" s="545">
        <f>(('Reparto C&amp;B'!E117*40%)+('Reparto C&amp;B'!F117*40%)+('Reparto C&amp;B'!H117*30%)+('Reparto C&amp;B'!I117*25%))/6</f>
        <v>32980570875.647221</v>
      </c>
      <c r="AI11" s="302"/>
      <c r="AJ11" s="302"/>
      <c r="AK11" s="302"/>
      <c r="AL11" s="302"/>
      <c r="AM11" s="302"/>
      <c r="AN11" s="302"/>
      <c r="AO11" s="302"/>
      <c r="AP11" s="302"/>
    </row>
    <row r="12" spans="1:42">
      <c r="A12" s="513"/>
      <c r="B12" s="56" t="s">
        <v>215</v>
      </c>
      <c r="C12" s="279">
        <f>(('Cuadro General'!I91)+('Reparto C&amp;B'!F36*'Cuadro General'!I92))/6</f>
        <v>241.16088708407491</v>
      </c>
      <c r="D12" s="280">
        <f>(('Cuadro General'!E91*'Cuadro General'!F91)+('Reparto C&amp;B'!F36*'Cuadro General'!E92*'Cuadro General'!F92))/6</f>
        <v>16700.725551055806</v>
      </c>
      <c r="E12" s="280"/>
      <c r="F12" s="281">
        <f>('Cuadro General'!E91*'Cuadro General'!F91/6)</f>
        <v>15659.091049773882</v>
      </c>
      <c r="G12" s="281">
        <f>('Reparto C&amp;B'!F36*'Cuadro General'!E92*'Cuadro General'!F92)/6</f>
        <v>1041.6345012819218</v>
      </c>
      <c r="H12" s="281"/>
      <c r="I12" s="281"/>
      <c r="J12" s="281"/>
      <c r="K12" s="281"/>
      <c r="L12" s="282"/>
      <c r="M12" s="282"/>
      <c r="N12" s="282"/>
      <c r="O12" s="283">
        <v>1</v>
      </c>
      <c r="P12" s="283">
        <v>1</v>
      </c>
      <c r="Q12" s="283">
        <v>1</v>
      </c>
      <c r="R12" s="282"/>
      <c r="S12" s="282"/>
      <c r="T12" s="282"/>
      <c r="U12" s="282"/>
      <c r="V12" s="292"/>
      <c r="W12" s="302"/>
      <c r="X12" s="302"/>
      <c r="Y12" s="302"/>
      <c r="Z12" s="302"/>
      <c r="AA12" s="302"/>
      <c r="AB12" s="302"/>
      <c r="AC12" s="545">
        <f>'Reparto C&amp;B'!B117*10%/6</f>
        <v>12158604660.948668</v>
      </c>
      <c r="AD12" s="545">
        <f>(('Reparto C&amp;B'!C117*50%)+('Reparto C&amp;B'!D117*50%))/2+(('Reparto C&amp;B'!E117*10%)+('Reparto C&amp;B'!F117*30%)+('Reparto C&amp;B'!H117*20%)+('Reparto C&amp;B'!I117*50%))/6</f>
        <v>38973113556.487442</v>
      </c>
      <c r="AE12" s="545">
        <f>'Reparto C&amp;B'!B117*20%/6</f>
        <v>24317209321.897335</v>
      </c>
      <c r="AF12" s="545">
        <f>(('Reparto C&amp;B'!E117*50%)+('Reparto C&amp;B'!F117*30%)+('Reparto C&amp;B'!H117*50%)+('Reparto C&amp;B'!I117*25%))/6</f>
        <v>35759284436.940979</v>
      </c>
      <c r="AG12" s="545">
        <f>'Reparto C&amp;B'!B117*70%/6</f>
        <v>85110232626.640671</v>
      </c>
      <c r="AH12" s="545">
        <f>(('Reparto C&amp;B'!E117*40%)+('Reparto C&amp;B'!F117*40%)+('Reparto C&amp;B'!H117*30%)+('Reparto C&amp;B'!I117*25%))/6</f>
        <v>32980570875.647221</v>
      </c>
      <c r="AI12" s="302"/>
      <c r="AJ12" s="302"/>
      <c r="AK12" s="302"/>
      <c r="AL12" s="302"/>
      <c r="AM12" s="302"/>
      <c r="AN12" s="302"/>
      <c r="AO12" s="302"/>
      <c r="AP12" s="302"/>
    </row>
    <row r="13" spans="1:42">
      <c r="A13" s="513"/>
      <c r="B13" s="56" t="s">
        <v>216</v>
      </c>
      <c r="C13" s="279">
        <f>(('Cuadro General'!I91)+('Reparto C&amp;B'!F36*'Cuadro General'!I92))/6</f>
        <v>241.16088708407491</v>
      </c>
      <c r="D13" s="280">
        <f>(('Cuadro General'!E91*'Cuadro General'!F91)+('Reparto C&amp;B'!F36*'Cuadro General'!E92*'Cuadro General'!F92))/6</f>
        <v>16700.725551055806</v>
      </c>
      <c r="E13" s="280"/>
      <c r="F13" s="281">
        <f>('Cuadro General'!E91*'Cuadro General'!F91/6)</f>
        <v>15659.091049773882</v>
      </c>
      <c r="G13" s="281">
        <f>('Reparto C&amp;B'!F36*'Cuadro General'!E92*'Cuadro General'!F92)/6</f>
        <v>1041.6345012819218</v>
      </c>
      <c r="H13" s="281"/>
      <c r="I13" s="281"/>
      <c r="J13" s="281"/>
      <c r="K13" s="281"/>
      <c r="L13" s="282"/>
      <c r="M13" s="282"/>
      <c r="N13" s="282"/>
      <c r="O13" s="282"/>
      <c r="P13" s="283">
        <v>1</v>
      </c>
      <c r="Q13" s="283">
        <v>1</v>
      </c>
      <c r="R13" s="283">
        <v>1</v>
      </c>
      <c r="S13" s="282"/>
      <c r="T13" s="282"/>
      <c r="U13" s="282"/>
      <c r="V13" s="292"/>
      <c r="W13" s="302"/>
      <c r="X13" s="302"/>
      <c r="Y13" s="302"/>
      <c r="Z13" s="302"/>
      <c r="AA13" s="302"/>
      <c r="AB13" s="302"/>
      <c r="AC13" s="302"/>
      <c r="AD13" s="302"/>
      <c r="AE13" s="545">
        <f>'Reparto C&amp;B'!B117*10%/6</f>
        <v>12158604660.948668</v>
      </c>
      <c r="AF13" s="545">
        <f>(('Reparto C&amp;B'!E117*10%)+('Reparto C&amp;B'!F117*30%)+('Reparto C&amp;B'!H117*20%)+('Reparto C&amp;B'!I117*50%))/6</f>
        <v>15681597081.110605</v>
      </c>
      <c r="AG13" s="545">
        <f>'Reparto C&amp;B'!B117*20%/6</f>
        <v>24317209321.897335</v>
      </c>
      <c r="AH13" s="545">
        <f>(('Reparto C&amp;B'!E117*50%)+('Reparto C&amp;B'!F117*30%)+('Reparto C&amp;B'!H117*50%)+('Reparto C&amp;B'!I117*25%))/6</f>
        <v>35759284436.940979</v>
      </c>
      <c r="AI13" s="545">
        <f>'Reparto C&amp;B'!B117*70%/6</f>
        <v>85110232626.640671</v>
      </c>
      <c r="AJ13" s="545">
        <f>(('Reparto C&amp;B'!E117*40%)+('Reparto C&amp;B'!F117*40%)+('Reparto C&amp;B'!H117*30%)+('Reparto C&amp;B'!I117*25%))/6</f>
        <v>32980570875.647221</v>
      </c>
      <c r="AK13" s="302"/>
      <c r="AL13" s="302"/>
      <c r="AM13" s="302"/>
      <c r="AN13" s="302"/>
      <c r="AO13" s="302"/>
      <c r="AP13" s="302"/>
    </row>
    <row r="14" spans="1:42">
      <c r="A14" s="513"/>
      <c r="B14" s="56" t="s">
        <v>217</v>
      </c>
      <c r="C14" s="279">
        <f>(('Cuadro General'!I91)+('Reparto C&amp;B'!F36*'Cuadro General'!I92))/6</f>
        <v>241.16088708407491</v>
      </c>
      <c r="D14" s="280">
        <f>(('Cuadro General'!E91*'Cuadro General'!F91)+('Reparto C&amp;B'!F36*'Cuadro General'!E92*'Cuadro General'!F92))/6</f>
        <v>16700.725551055806</v>
      </c>
      <c r="E14" s="280"/>
      <c r="F14" s="281">
        <f>('Cuadro General'!E91*'Cuadro General'!F91/6)</f>
        <v>15659.091049773882</v>
      </c>
      <c r="G14" s="281">
        <f>('Reparto C&amp;B'!F36*'Cuadro General'!E92*'Cuadro General'!F92)/6</f>
        <v>1041.6345012819218</v>
      </c>
      <c r="H14" s="281"/>
      <c r="I14" s="281"/>
      <c r="J14" s="281"/>
      <c r="K14" s="281"/>
      <c r="L14" s="282"/>
      <c r="M14" s="282"/>
      <c r="N14" s="282"/>
      <c r="O14" s="282"/>
      <c r="P14" s="283">
        <v>1</v>
      </c>
      <c r="Q14" s="283">
        <v>1</v>
      </c>
      <c r="R14" s="283">
        <v>1</v>
      </c>
      <c r="S14" s="282"/>
      <c r="T14" s="282"/>
      <c r="U14" s="282"/>
      <c r="V14" s="292"/>
      <c r="W14" s="302"/>
      <c r="X14" s="302"/>
      <c r="Y14" s="302"/>
      <c r="Z14" s="302"/>
      <c r="AA14" s="302"/>
      <c r="AB14" s="302"/>
      <c r="AC14" s="302"/>
      <c r="AD14" s="302"/>
      <c r="AE14" s="545">
        <f>'Reparto C&amp;B'!B117*10%/6</f>
        <v>12158604660.948668</v>
      </c>
      <c r="AF14" s="545">
        <f>(('Reparto C&amp;B'!E117*10%)+('Reparto C&amp;B'!F117*30%)+('Reparto C&amp;B'!H117*20%)+('Reparto C&amp;B'!I117*50%))/6</f>
        <v>15681597081.110605</v>
      </c>
      <c r="AG14" s="545">
        <f>'Reparto C&amp;B'!B117*20%/6</f>
        <v>24317209321.897335</v>
      </c>
      <c r="AH14" s="545">
        <f>(('Reparto C&amp;B'!E117*50%)+('Reparto C&amp;B'!F117*30%)+('Reparto C&amp;B'!H117*50%)+('Reparto C&amp;B'!I117*25%))/6</f>
        <v>35759284436.940979</v>
      </c>
      <c r="AI14" s="545">
        <f>'Reparto C&amp;B'!B117*70%/6</f>
        <v>85110232626.640671</v>
      </c>
      <c r="AJ14" s="545">
        <f>(('Reparto C&amp;B'!E117*40%)+('Reparto C&amp;B'!F117*40%)+('Reparto C&amp;B'!H117*30%)+('Reparto C&amp;B'!I117*25%))/6</f>
        <v>32980570875.647221</v>
      </c>
      <c r="AK14" s="302"/>
      <c r="AL14" s="302"/>
      <c r="AM14" s="302"/>
      <c r="AN14" s="302"/>
      <c r="AO14" s="302"/>
      <c r="AP14" s="302"/>
    </row>
    <row r="15" spans="1:42">
      <c r="A15" s="303" t="s">
        <v>130</v>
      </c>
      <c r="B15" s="56" t="s">
        <v>210</v>
      </c>
      <c r="C15" s="284"/>
      <c r="D15" s="285">
        <f>'Cuadro General'!E95*'Cuadro General'!F95</f>
        <v>37727.507999999987</v>
      </c>
      <c r="E15" s="285"/>
      <c r="F15" s="281"/>
      <c r="G15" s="281"/>
      <c r="H15" s="281"/>
      <c r="I15" s="281"/>
      <c r="J15" s="281">
        <f>D15</f>
        <v>37727.507999999987</v>
      </c>
      <c r="K15" s="281"/>
      <c r="L15" s="282"/>
      <c r="M15" s="282"/>
      <c r="N15" s="282"/>
      <c r="O15" s="282"/>
      <c r="P15" s="282"/>
      <c r="Q15" s="282"/>
      <c r="R15" s="283">
        <v>1</v>
      </c>
      <c r="S15" s="283">
        <v>1</v>
      </c>
      <c r="T15" s="283">
        <v>1</v>
      </c>
      <c r="U15" s="283">
        <v>1</v>
      </c>
      <c r="V15" s="292"/>
      <c r="W15" s="302"/>
      <c r="X15" s="302"/>
      <c r="Y15" s="302"/>
      <c r="Z15" s="302"/>
      <c r="AA15" s="302"/>
      <c r="AB15" s="302"/>
      <c r="AC15" s="302"/>
      <c r="AD15" s="302"/>
      <c r="AE15" s="302"/>
      <c r="AF15" s="302"/>
      <c r="AG15" s="302"/>
      <c r="AH15" s="302"/>
      <c r="AI15" s="545">
        <f>'Reparto C&amp;B'!B118*10%</f>
        <v>30936556559.999989</v>
      </c>
      <c r="AJ15" s="545">
        <f>'Reparto C&amp;B'!C118+'Reparto C&amp;B'!D118+('Reparto C&amp;B'!E118*10%)+('Reparto C&amp;B'!F118*25%)+('Reparto C&amp;B'!H118*20%)+('Reparto C&amp;B'!I118*0%)</f>
        <v>57931381960.994049</v>
      </c>
      <c r="AK15" s="545">
        <f>'Reparto C&amp;B'!B118*10%</f>
        <v>30936556559.999989</v>
      </c>
      <c r="AL15" s="545">
        <f>('Reparto C&amp;B'!E118*25%)+('Reparto C&amp;B'!F118*25%)+('Reparto C&amp;B'!H118*20%)+('Reparto C&amp;B'!I118*40%)</f>
        <v>59369228971.591782</v>
      </c>
      <c r="AM15" s="545">
        <f>'Reparto C&amp;B'!B118*10%</f>
        <v>30936556559.999989</v>
      </c>
      <c r="AN15" s="545">
        <f>('Reparto C&amp;B'!E118*45%)+('Reparto C&amp;B'!F118*25%)+('Reparto C&amp;B'!H118*30%)+('Reparto C&amp;B'!I118*40%)</f>
        <v>90624737084.600571</v>
      </c>
      <c r="AO15" s="545">
        <f>'Reparto C&amp;B'!B118*70%</f>
        <v>216555895919.99991</v>
      </c>
      <c r="AP15" s="545">
        <f>('Reparto C&amp;B'!E118*20%)+('Reparto C&amp;B'!F118*25%)+('Reparto C&amp;B'!H118*30%)+('Reparto C&amp;B'!I118*20%)</f>
        <v>51941727086.813492</v>
      </c>
    </row>
    <row r="16" spans="1:42">
      <c r="A16" s="512" t="s">
        <v>131</v>
      </c>
      <c r="B16" s="56" t="s">
        <v>218</v>
      </c>
      <c r="C16" s="284">
        <f>(('Cuadro General'!I93)+('Reparto C&amp;B'!F38*'Cuadro General'!I92))/2</f>
        <v>316.52967443181831</v>
      </c>
      <c r="D16" s="285">
        <f>(('Cuadro General'!E93*'Cuadro General'!F93)+('Reparto C&amp;B'!F38*'Cuadro General'!E92*'Cuadro General'!F92))/2</f>
        <v>13927.305675000005</v>
      </c>
      <c r="E16" s="285"/>
      <c r="F16" s="281"/>
      <c r="G16" s="281">
        <f>(('Reparto C&amp;B'!F38*'Cuadro General'!E92*'Cuadro General'!F92))/2</f>
        <v>6619.2167060822658</v>
      </c>
      <c r="H16" s="281">
        <f>('Cuadro General'!E93*'Cuadro General'!F93)/2</f>
        <v>7308.0889689177393</v>
      </c>
      <c r="I16" s="281"/>
      <c r="J16" s="281"/>
      <c r="K16" s="281"/>
      <c r="L16" s="283">
        <v>1</v>
      </c>
      <c r="M16" s="283">
        <v>1</v>
      </c>
      <c r="N16" s="283">
        <v>1</v>
      </c>
      <c r="O16" s="282"/>
      <c r="P16" s="282"/>
      <c r="Q16" s="282"/>
      <c r="R16" s="282"/>
      <c r="S16" s="282"/>
      <c r="T16" s="282"/>
      <c r="U16" s="282"/>
      <c r="V16" s="292"/>
      <c r="W16" s="545">
        <f>'Reparto C&amp;B'!B119*10%/2</f>
        <v>4459664768.9327574</v>
      </c>
      <c r="X16" s="545">
        <f>(('Reparto C&amp;B'!C119)+('Reparto C&amp;B'!E119*20%+'Reparto C&amp;B'!F119*20%))/2</f>
        <v>11707328774.200148</v>
      </c>
      <c r="Y16" s="545">
        <f>'Reparto C&amp;B'!B119*20%/2</f>
        <v>8919329537.8655148</v>
      </c>
      <c r="Z16" s="545">
        <f>('Reparto C&amp;B'!E119*50%+'Reparto C&amp;B'!F119*50%)/2</f>
        <v>18739452885.50037</v>
      </c>
      <c r="AA16" s="545">
        <f>'Reparto C&amp;B'!B119*70%/2</f>
        <v>31217653382.529301</v>
      </c>
      <c r="AB16" s="545">
        <f>('Reparto C&amp;B'!E119*30%+'Reparto C&amp;B'!F119*30%)/2</f>
        <v>11243671731.300222</v>
      </c>
      <c r="AC16" s="302"/>
      <c r="AD16" s="302"/>
      <c r="AE16" s="302"/>
      <c r="AF16" s="302"/>
      <c r="AG16" s="302"/>
      <c r="AH16" s="302"/>
      <c r="AI16" s="302"/>
      <c r="AK16" s="302"/>
      <c r="AL16" s="302"/>
      <c r="AM16" s="302"/>
      <c r="AN16" s="302"/>
      <c r="AO16" s="302"/>
      <c r="AP16" s="302"/>
    </row>
    <row r="17" spans="1:42">
      <c r="A17" s="512"/>
      <c r="B17" s="56" t="s">
        <v>219</v>
      </c>
      <c r="C17" s="284">
        <f>(('Cuadro General'!I93)+('Reparto C&amp;B'!F38*'Cuadro General'!I92))/2</f>
        <v>316.52967443181831</v>
      </c>
      <c r="D17" s="285">
        <f>(('Cuadro General'!E93*'Cuadro General'!F93)+('Reparto C&amp;B'!F38*'Cuadro General'!E92*'Cuadro General'!F92))/2</f>
        <v>13927.305675000005</v>
      </c>
      <c r="E17" s="285"/>
      <c r="F17" s="281"/>
      <c r="G17" s="281">
        <f>(('Reparto C&amp;B'!F38*'Cuadro General'!E92*'Cuadro General'!F92))/2</f>
        <v>6619.2167060822658</v>
      </c>
      <c r="H17" s="281">
        <f>('Cuadro General'!E93*'Cuadro General'!F93)/2</f>
        <v>7308.0889689177393</v>
      </c>
      <c r="I17" s="281"/>
      <c r="J17" s="281"/>
      <c r="K17" s="281"/>
      <c r="L17" s="282"/>
      <c r="M17" s="283">
        <v>1</v>
      </c>
      <c r="N17" s="283">
        <v>1</v>
      </c>
      <c r="O17" s="283">
        <v>1</v>
      </c>
      <c r="P17" s="282"/>
      <c r="Q17" s="282"/>
      <c r="R17" s="282"/>
      <c r="S17" s="282"/>
      <c r="T17" s="282"/>
      <c r="U17" s="282"/>
      <c r="V17" s="292"/>
      <c r="W17" s="302"/>
      <c r="X17" s="302"/>
      <c r="Y17" s="545">
        <f>'Reparto C&amp;B'!B119*10%/2</f>
        <v>4459664768.9327574</v>
      </c>
      <c r="Z17" s="545">
        <f>(('Reparto C&amp;B'!C119)+('Reparto C&amp;B'!E119*20%+'Reparto C&amp;B'!F119*20%))/2</f>
        <v>11707328774.200148</v>
      </c>
      <c r="AA17" s="545">
        <f>'Reparto C&amp;B'!B119*20%/2</f>
        <v>8919329537.8655148</v>
      </c>
      <c r="AB17" s="545">
        <f>('Reparto C&amp;B'!E119*50%+'Reparto C&amp;B'!F119*50%)/2</f>
        <v>18739452885.50037</v>
      </c>
      <c r="AC17" s="545">
        <f>'Reparto C&amp;B'!B119*70%/2</f>
        <v>31217653382.529301</v>
      </c>
      <c r="AD17" s="545">
        <f>('Reparto C&amp;B'!E119*30%+'Reparto C&amp;B'!F119*30%)/2</f>
        <v>11243671731.300222</v>
      </c>
      <c r="AE17" s="302"/>
      <c r="AF17" s="302"/>
      <c r="AG17" s="302"/>
      <c r="AH17" s="302"/>
      <c r="AI17" s="302"/>
      <c r="AJ17" s="302"/>
      <c r="AK17" s="302"/>
      <c r="AL17" s="302"/>
      <c r="AM17" s="302"/>
      <c r="AN17" s="302"/>
      <c r="AO17" s="302"/>
      <c r="AP17" s="302"/>
    </row>
    <row r="18" spans="1:42">
      <c r="A18" s="513" t="s">
        <v>132</v>
      </c>
      <c r="B18" s="56" t="s">
        <v>220</v>
      </c>
      <c r="C18" s="284">
        <f>'Cuadro General'!I90/2</f>
        <v>249.15490263157901</v>
      </c>
      <c r="D18" s="285">
        <f>'Cuadro General'!E90*'Cuadro General'!F90/2</f>
        <v>23669.715750000007</v>
      </c>
      <c r="E18" s="285">
        <f>D18</f>
        <v>23669.715750000007</v>
      </c>
      <c r="F18" s="281"/>
      <c r="G18" s="281"/>
      <c r="H18" s="281"/>
      <c r="I18" s="281"/>
      <c r="J18" s="281"/>
      <c r="K18" s="281"/>
      <c r="L18" s="282"/>
      <c r="M18" s="282"/>
      <c r="N18" s="282"/>
      <c r="O18" s="282"/>
      <c r="P18" s="282"/>
      <c r="Q18" s="283">
        <v>1</v>
      </c>
      <c r="R18" s="283">
        <v>1</v>
      </c>
      <c r="S18" s="283">
        <v>1</v>
      </c>
      <c r="T18" s="283">
        <v>1</v>
      </c>
      <c r="U18" s="282"/>
      <c r="V18" s="292"/>
      <c r="W18" s="302"/>
      <c r="X18" s="302"/>
      <c r="Y18" s="302"/>
      <c r="Z18" s="302"/>
      <c r="AA18" s="302"/>
      <c r="AB18" s="302"/>
      <c r="AC18" s="302"/>
      <c r="AD18" s="302"/>
      <c r="AE18" s="302"/>
      <c r="AF18" s="302"/>
      <c r="AG18" s="545">
        <f>'Reparto C&amp;B'!B120*10%/2</f>
        <v>23433018592.500011</v>
      </c>
      <c r="AH18" s="545">
        <f>('Reparto C&amp;B'!C120+'Reparto C&amp;B'!D120)/2+(('Reparto C&amp;B'!E120*10%)+('Reparto C&amp;B'!F120*25%)+('Reparto C&amp;B'!H120*20%)+('Reparto C&amp;B'!I120*25%))/2</f>
        <v>49582625282.364883</v>
      </c>
      <c r="AI18" s="545">
        <f>'Reparto C&amp;B'!B120*10%/2</f>
        <v>23433018592.500011</v>
      </c>
      <c r="AJ18" s="545">
        <f>(('Reparto C&amp;B'!E120*30%)+('Reparto C&amp;B'!F120*25%)+('Reparto C&amp;B'!H120*25%)+('Reparto C&amp;B'!I120*25%))/2</f>
        <v>43681051023.66143</v>
      </c>
      <c r="AK18" s="545">
        <f>'Reparto C&amp;B'!B120*10%/2</f>
        <v>23433018592.500011</v>
      </c>
      <c r="AL18" s="545">
        <f>(('Reparto C&amp;B'!E120*30%)+('Reparto C&amp;B'!F120*25%)+('Reparto C&amp;B'!H120*25%)+('Reparto C&amp;B'!I120*25%))/2</f>
        <v>43681051023.66143</v>
      </c>
      <c r="AM18" s="545">
        <f>'Reparto C&amp;B'!B120*70%/2</f>
        <v>164031130147.50006</v>
      </c>
      <c r="AN18" s="545">
        <f>(('Reparto C&amp;B'!E120*30%)+('Reparto C&amp;B'!F120*25%)+('Reparto C&amp;B'!H120*30%)+('Reparto C&amp;B'!I120*25%))/2</f>
        <v>44118223164.3116</v>
      </c>
      <c r="AO18" s="302"/>
      <c r="AP18" s="302"/>
    </row>
    <row r="19" spans="1:42">
      <c r="A19" s="513"/>
      <c r="B19" s="56" t="s">
        <v>221</v>
      </c>
      <c r="C19" s="284">
        <f>'Cuadro General'!I90/2</f>
        <v>249.15490263157901</v>
      </c>
      <c r="D19" s="285">
        <f>'Cuadro General'!E90*'Cuadro General'!F90/2</f>
        <v>23669.715750000007</v>
      </c>
      <c r="E19" s="285">
        <f>D19</f>
        <v>23669.715750000007</v>
      </c>
      <c r="F19" s="281"/>
      <c r="G19" s="281"/>
      <c r="H19" s="281"/>
      <c r="I19" s="281"/>
      <c r="J19" s="281"/>
      <c r="K19" s="281"/>
      <c r="L19" s="282"/>
      <c r="M19" s="282"/>
      <c r="N19" s="282"/>
      <c r="O19" s="282"/>
      <c r="P19" s="282"/>
      <c r="Q19" s="282"/>
      <c r="R19" s="283">
        <v>1</v>
      </c>
      <c r="S19" s="283">
        <v>1</v>
      </c>
      <c r="T19" s="283">
        <v>1</v>
      </c>
      <c r="U19" s="283">
        <v>1</v>
      </c>
      <c r="V19" s="292"/>
      <c r="W19" s="302"/>
      <c r="X19" s="302"/>
      <c r="Y19" s="302"/>
      <c r="Z19" s="302"/>
      <c r="AA19" s="302"/>
      <c r="AB19" s="302"/>
      <c r="AC19" s="302"/>
      <c r="AD19" s="302"/>
      <c r="AE19" s="302"/>
      <c r="AF19" s="302"/>
      <c r="AG19" s="302"/>
      <c r="AH19" s="302"/>
      <c r="AI19" s="545">
        <f>'Reparto C&amp;B'!B120*10%/2</f>
        <v>23433018592.500011</v>
      </c>
      <c r="AJ19" s="545">
        <f>('Reparto C&amp;B'!C120+'Reparto C&amp;B'!D120)/2+(('Reparto C&amp;B'!E120*10%)+('Reparto C&amp;B'!F120*25%)+('Reparto C&amp;B'!H120*20%)+('Reparto C&amp;B'!I120*25%))/2</f>
        <v>49582625282.364883</v>
      </c>
      <c r="AK19" s="545">
        <f>'Reparto C&amp;B'!B120*10%/2</f>
        <v>23433018592.500011</v>
      </c>
      <c r="AL19" s="545">
        <f>(('Reparto C&amp;B'!E120*30%)+('Reparto C&amp;B'!F120*25%)+('Reparto C&amp;B'!H120*25%)+('Reparto C&amp;B'!I120*25%))/2</f>
        <v>43681051023.66143</v>
      </c>
      <c r="AM19" s="545">
        <f>'Reparto C&amp;B'!B120*10%/2</f>
        <v>23433018592.500011</v>
      </c>
      <c r="AN19" s="545">
        <f>(('Reparto C&amp;B'!E120*30%)+('Reparto C&amp;B'!F120*25%)+('Reparto C&amp;B'!H120*25%)+('Reparto C&amp;B'!I120*25%))/2</f>
        <v>43681051023.66143</v>
      </c>
      <c r="AO19" s="545">
        <f>'Reparto C&amp;B'!B120*70%/2</f>
        <v>164031130147.50006</v>
      </c>
      <c r="AP19" s="545">
        <f>(('Reparto C&amp;B'!E120*30%)+('Reparto C&amp;B'!F120*25%)+('Reparto C&amp;B'!H120*30%)+('Reparto C&amp;B'!I120*25%))/2</f>
        <v>44118223164.3116</v>
      </c>
    </row>
    <row r="20" spans="1:42">
      <c r="A20" s="286" t="s">
        <v>133</v>
      </c>
      <c r="B20" s="56" t="s">
        <v>211</v>
      </c>
      <c r="C20" s="284"/>
      <c r="D20" s="285">
        <f>'Cuadro General'!E96*'Cuadro General'!F96</f>
        <v>2942.4544100000003</v>
      </c>
      <c r="E20" s="285"/>
      <c r="F20" s="281"/>
      <c r="G20" s="281"/>
      <c r="H20" s="281"/>
      <c r="I20" s="281"/>
      <c r="J20" s="281"/>
      <c r="K20" s="281">
        <f>D20</f>
        <v>2942.4544100000003</v>
      </c>
      <c r="L20" s="283">
        <v>1</v>
      </c>
      <c r="M20" s="283">
        <v>1</v>
      </c>
      <c r="N20" s="283">
        <v>1</v>
      </c>
      <c r="O20" s="282"/>
      <c r="P20" s="282"/>
      <c r="Q20" s="282"/>
      <c r="R20" s="282"/>
      <c r="S20" s="282"/>
      <c r="T20" s="282"/>
      <c r="U20" s="282"/>
      <c r="V20" s="292"/>
      <c r="W20" s="545">
        <f>'Reparto C&amp;B'!B121*10%</f>
        <v>2133279447.2500005</v>
      </c>
      <c r="X20" s="545">
        <f>'Reparto C&amp;B'!C121+'Reparto C&amp;B'!D121+('Reparto C&amp;B'!E121*20%)+('Reparto C&amp;B'!F121*30%)+('Reparto C&amp;B'!H121*20%)+('Reparto C&amp;B'!I121)</f>
        <v>6687553199.3851576</v>
      </c>
      <c r="Y20" s="545">
        <f>'Reparto C&amp;B'!B121*20%</f>
        <v>4266558894.500001</v>
      </c>
      <c r="Z20" s="545">
        <f>('Reparto C&amp;B'!E121*50%)+('Reparto C&amp;B'!F121*30%)+('Reparto C&amp;B'!H121*50%)</f>
        <v>6286681538.4545898</v>
      </c>
      <c r="AA20" s="545">
        <f>'Reparto C&amp;B'!B121*70%</f>
        <v>14932956130.750002</v>
      </c>
      <c r="AB20" s="545">
        <f>('Reparto C&amp;B'!E121*30%)+('Reparto C&amp;B'!F121*40%)+('Reparto C&amp;B'!H121*30%)</f>
        <v>4945312619.0602541</v>
      </c>
      <c r="AC20" s="302"/>
      <c r="AD20" s="302"/>
      <c r="AE20" s="302"/>
      <c r="AF20" s="302"/>
      <c r="AG20" s="302"/>
      <c r="AH20" s="302"/>
      <c r="AI20" s="302"/>
      <c r="AJ20" s="302"/>
      <c r="AK20" s="302"/>
      <c r="AL20" s="302"/>
      <c r="AM20" s="302"/>
      <c r="AN20" s="302"/>
      <c r="AO20" s="302"/>
      <c r="AP20" s="302"/>
    </row>
    <row r="21" spans="1:42">
      <c r="V21" s="292"/>
    </row>
    <row r="22" spans="1:42" ht="19">
      <c r="A22" s="522" t="s">
        <v>231</v>
      </c>
      <c r="B22" s="522"/>
      <c r="C22" s="522"/>
      <c r="D22" s="522"/>
      <c r="E22" s="522"/>
      <c r="F22" s="522"/>
      <c r="G22" s="522"/>
      <c r="H22" s="522"/>
      <c r="I22" s="522"/>
      <c r="J22" s="522"/>
      <c r="K22" s="522"/>
      <c r="L22" s="278"/>
      <c r="M22" s="278"/>
      <c r="N22" s="278"/>
      <c r="O22" s="278"/>
      <c r="P22" s="287"/>
      <c r="Q22" s="287"/>
      <c r="R22" s="287"/>
      <c r="S22" s="287"/>
      <c r="T22" s="278"/>
      <c r="U22" s="278"/>
      <c r="V22" s="292"/>
      <c r="W22" s="278"/>
      <c r="X22" s="278"/>
      <c r="Y22" s="278"/>
      <c r="Z22" s="278"/>
      <c r="AA22" s="278"/>
      <c r="AB22" s="278"/>
      <c r="AC22" s="278"/>
      <c r="AD22" s="278"/>
      <c r="AE22" s="547">
        <f>SUM(AE23:AE26)</f>
        <v>0</v>
      </c>
      <c r="AF22" s="547">
        <f t="shared" ref="AF22:AL22" si="2">SUM(AF23:AF26)</f>
        <v>4417119930</v>
      </c>
      <c r="AG22" s="547">
        <f t="shared" si="2"/>
        <v>0</v>
      </c>
      <c r="AH22" s="547">
        <f t="shared" si="2"/>
        <v>4417119930</v>
      </c>
      <c r="AI22" s="547">
        <f t="shared" si="2"/>
        <v>0</v>
      </c>
      <c r="AJ22" s="547">
        <f t="shared" si="2"/>
        <v>4417119930</v>
      </c>
      <c r="AK22" s="547">
        <f t="shared" si="2"/>
        <v>0</v>
      </c>
      <c r="AL22" s="547">
        <f t="shared" si="2"/>
        <v>4417119930</v>
      </c>
      <c r="AM22" s="278"/>
      <c r="AN22" s="278"/>
      <c r="AO22" s="278"/>
      <c r="AP22" s="278"/>
    </row>
    <row r="23" spans="1:42" s="14" customFormat="1" ht="34" customHeight="1">
      <c r="A23" s="542" t="s">
        <v>103</v>
      </c>
      <c r="B23" s="543"/>
      <c r="C23" s="543"/>
      <c r="D23" s="543"/>
      <c r="E23" s="543"/>
      <c r="F23" s="543"/>
      <c r="G23" s="543"/>
      <c r="H23" s="543"/>
      <c r="I23" s="543"/>
      <c r="J23" s="543"/>
      <c r="K23" s="544"/>
      <c r="L23" s="275"/>
      <c r="M23" s="275"/>
      <c r="N23" s="275"/>
      <c r="O23" s="275"/>
      <c r="P23" s="306">
        <v>1</v>
      </c>
      <c r="Q23" s="306">
        <v>1</v>
      </c>
      <c r="R23" s="306">
        <v>1</v>
      </c>
      <c r="S23" s="306">
        <v>1</v>
      </c>
      <c r="T23" s="275"/>
      <c r="U23" s="275"/>
      <c r="V23" s="307"/>
      <c r="W23" s="275"/>
      <c r="X23" s="275"/>
      <c r="Y23" s="275"/>
      <c r="Z23" s="275"/>
      <c r="AA23" s="275"/>
      <c r="AB23" s="275"/>
      <c r="AC23" s="275"/>
      <c r="AD23" s="275"/>
      <c r="AE23" s="546"/>
      <c r="AF23" s="546">
        <f>'Cuadro General'!D18*'Reparto C&amp;B'!D58*25%</f>
        <v>766390380</v>
      </c>
      <c r="AG23" s="546"/>
      <c r="AH23" s="546">
        <f>'Cuadro General'!D18*'Reparto C&amp;B'!D58*25%</f>
        <v>766390380</v>
      </c>
      <c r="AI23" s="546"/>
      <c r="AJ23" s="546">
        <f>'Cuadro General'!D18*'Reparto C&amp;B'!D58*25%</f>
        <v>766390380</v>
      </c>
      <c r="AK23" s="546"/>
      <c r="AL23" s="546">
        <f>'Cuadro General'!D18*'Reparto C&amp;B'!D58*25%</f>
        <v>766390380</v>
      </c>
      <c r="AM23" s="275"/>
      <c r="AN23" s="275"/>
      <c r="AO23" s="275"/>
      <c r="AP23" s="275"/>
    </row>
    <row r="24" spans="1:42">
      <c r="A24" s="521" t="s">
        <v>104</v>
      </c>
      <c r="B24" s="521"/>
      <c r="C24" s="521"/>
      <c r="D24" s="521"/>
      <c r="E24" s="521"/>
      <c r="F24" s="521"/>
      <c r="G24" s="521"/>
      <c r="H24" s="521"/>
      <c r="I24" s="521"/>
      <c r="J24" s="521"/>
      <c r="K24" s="521"/>
      <c r="L24" s="278"/>
      <c r="M24" s="278"/>
      <c r="N24" s="278"/>
      <c r="O24" s="278"/>
      <c r="P24" s="283">
        <v>1</v>
      </c>
      <c r="Q24" s="283">
        <v>1</v>
      </c>
      <c r="R24" s="283">
        <v>1</v>
      </c>
      <c r="S24" s="283">
        <v>1</v>
      </c>
      <c r="T24" s="278"/>
      <c r="U24" s="278"/>
      <c r="V24" s="292"/>
      <c r="W24" s="278"/>
      <c r="X24" s="278"/>
      <c r="Y24" s="278"/>
      <c r="Z24" s="278"/>
      <c r="AA24" s="278"/>
      <c r="AB24" s="278"/>
      <c r="AC24" s="278"/>
      <c r="AD24" s="278"/>
      <c r="AE24" s="545"/>
      <c r="AF24" s="545">
        <f>'Cuadro General'!D19*'Reparto C&amp;B'!D58*25%</f>
        <v>847591650</v>
      </c>
      <c r="AG24" s="545"/>
      <c r="AH24" s="545">
        <f>'Cuadro General'!D19*'Reparto C&amp;B'!D58*25%</f>
        <v>847591650</v>
      </c>
      <c r="AI24" s="545"/>
      <c r="AJ24" s="545">
        <f>'Cuadro General'!D19*'Reparto C&amp;B'!D58*25%</f>
        <v>847591650</v>
      </c>
      <c r="AK24" s="545"/>
      <c r="AL24" s="545">
        <f>'Cuadro General'!D19*'Reparto C&amp;B'!D58*25%</f>
        <v>847591650</v>
      </c>
      <c r="AM24" s="278"/>
      <c r="AN24" s="278"/>
      <c r="AO24" s="278"/>
      <c r="AP24" s="278"/>
    </row>
    <row r="25" spans="1:42">
      <c r="A25" s="521" t="s">
        <v>80</v>
      </c>
      <c r="B25" s="521"/>
      <c r="C25" s="521"/>
      <c r="D25" s="521"/>
      <c r="E25" s="521"/>
      <c r="F25" s="521"/>
      <c r="G25" s="521"/>
      <c r="H25" s="521"/>
      <c r="I25" s="521"/>
      <c r="J25" s="521"/>
      <c r="K25" s="521"/>
      <c r="L25" s="278"/>
      <c r="M25" s="278"/>
      <c r="N25" s="278"/>
      <c r="O25" s="278"/>
      <c r="P25" s="283">
        <v>1</v>
      </c>
      <c r="Q25" s="283">
        <v>1</v>
      </c>
      <c r="R25" s="283">
        <v>1</v>
      </c>
      <c r="S25" s="283">
        <v>1</v>
      </c>
      <c r="T25" s="278"/>
      <c r="U25" s="278"/>
      <c r="V25" s="292"/>
      <c r="W25" s="278"/>
      <c r="X25" s="278"/>
      <c r="Y25" s="278"/>
      <c r="Z25" s="278"/>
      <c r="AA25" s="278"/>
      <c r="AB25" s="278"/>
      <c r="AC25" s="278"/>
      <c r="AD25" s="278"/>
      <c r="AE25" s="545"/>
      <c r="AF25" s="545">
        <f>'Cuadro General'!D20*'Reparto C&amp;B'!D58*25%</f>
        <v>475013850</v>
      </c>
      <c r="AG25" s="545"/>
      <c r="AH25" s="545">
        <f>'Cuadro General'!D20*'Reparto C&amp;B'!D58*25%</f>
        <v>475013850</v>
      </c>
      <c r="AI25" s="545"/>
      <c r="AJ25" s="545">
        <f>'Cuadro General'!D20*'Reparto C&amp;B'!D58*25%</f>
        <v>475013850</v>
      </c>
      <c r="AK25" s="545"/>
      <c r="AL25" s="545">
        <f>'Cuadro General'!D20*'Reparto C&amp;B'!D58*25%</f>
        <v>475013850</v>
      </c>
      <c r="AM25" s="278"/>
      <c r="AN25" s="278"/>
      <c r="AO25" s="278"/>
      <c r="AP25" s="278"/>
    </row>
    <row r="26" spans="1:42">
      <c r="A26" s="521" t="s">
        <v>110</v>
      </c>
      <c r="B26" s="521"/>
      <c r="C26" s="521"/>
      <c r="D26" s="521"/>
      <c r="E26" s="521"/>
      <c r="F26" s="521"/>
      <c r="G26" s="521"/>
      <c r="H26" s="521"/>
      <c r="I26" s="521"/>
      <c r="J26" s="521"/>
      <c r="K26" s="521"/>
      <c r="L26" s="278"/>
      <c r="M26" s="278"/>
      <c r="N26" s="278"/>
      <c r="O26" s="278"/>
      <c r="P26" s="283">
        <v>1</v>
      </c>
      <c r="Q26" s="283">
        <v>1</v>
      </c>
      <c r="R26" s="283">
        <v>1</v>
      </c>
      <c r="S26" s="283">
        <v>1</v>
      </c>
      <c r="T26" s="278"/>
      <c r="U26" s="278"/>
      <c r="V26" s="292"/>
      <c r="W26" s="278"/>
      <c r="X26" s="278"/>
      <c r="Y26" s="278"/>
      <c r="Z26" s="278"/>
      <c r="AA26" s="278"/>
      <c r="AB26" s="278"/>
      <c r="AC26" s="278"/>
      <c r="AD26" s="278"/>
      <c r="AE26" s="545"/>
      <c r="AF26" s="545">
        <f>'Cuadro General'!D21*'Reparto C&amp;B'!D58*25%</f>
        <v>2328124050</v>
      </c>
      <c r="AG26" s="545"/>
      <c r="AH26" s="545">
        <f>'Cuadro General'!D21*'Reparto C&amp;B'!D58*25%</f>
        <v>2328124050</v>
      </c>
      <c r="AI26" s="545"/>
      <c r="AJ26" s="545">
        <f>'Cuadro General'!D21*'Reparto C&amp;B'!D58*25%</f>
        <v>2328124050</v>
      </c>
      <c r="AK26" s="545"/>
      <c r="AL26" s="545">
        <f>'Cuadro General'!D21*'Reparto C&amp;B'!D58*25%</f>
        <v>2328124050</v>
      </c>
      <c r="AM26" s="278"/>
      <c r="AN26" s="278"/>
      <c r="AO26" s="278"/>
      <c r="AP26" s="278"/>
    </row>
    <row r="27" spans="1:42" ht="19">
      <c r="A27" s="522" t="s">
        <v>7</v>
      </c>
      <c r="B27" s="522"/>
      <c r="C27" s="522"/>
      <c r="D27" s="522"/>
      <c r="E27" s="522"/>
      <c r="F27" s="522"/>
      <c r="G27" s="522"/>
      <c r="H27" s="522"/>
      <c r="I27" s="522"/>
      <c r="J27" s="522"/>
      <c r="K27" s="522"/>
      <c r="L27" s="287"/>
      <c r="M27" s="287"/>
      <c r="N27" s="287"/>
      <c r="O27" s="287"/>
      <c r="P27" s="287"/>
      <c r="Q27" s="287"/>
      <c r="R27" s="287"/>
      <c r="S27" s="287"/>
      <c r="T27" s="287"/>
      <c r="U27" s="287"/>
      <c r="V27" s="292"/>
      <c r="W27" s="547">
        <f>SUM(W28:W32)</f>
        <v>0</v>
      </c>
      <c r="X27" s="547">
        <f t="shared" ref="X27:AP27" si="3">SUM(X28:X32)</f>
        <v>354529800</v>
      </c>
      <c r="Y27" s="547">
        <f t="shared" si="3"/>
        <v>0</v>
      </c>
      <c r="Z27" s="547">
        <f t="shared" si="3"/>
        <v>354529800</v>
      </c>
      <c r="AA27" s="547">
        <f t="shared" si="3"/>
        <v>0</v>
      </c>
      <c r="AB27" s="547">
        <f t="shared" si="3"/>
        <v>354529800</v>
      </c>
      <c r="AC27" s="547">
        <f t="shared" si="3"/>
        <v>0</v>
      </c>
      <c r="AD27" s="547">
        <f t="shared" si="3"/>
        <v>354529800</v>
      </c>
      <c r="AE27" s="547">
        <f t="shared" si="3"/>
        <v>0</v>
      </c>
      <c r="AF27" s="547">
        <f t="shared" si="3"/>
        <v>0</v>
      </c>
      <c r="AG27" s="547">
        <f t="shared" si="3"/>
        <v>0</v>
      </c>
      <c r="AH27" s="547">
        <f t="shared" si="3"/>
        <v>1064364600</v>
      </c>
      <c r="AI27" s="547">
        <f t="shared" si="3"/>
        <v>0</v>
      </c>
      <c r="AJ27" s="547">
        <f t="shared" si="3"/>
        <v>3229778380</v>
      </c>
      <c r="AK27" s="547">
        <f t="shared" si="3"/>
        <v>0</v>
      </c>
      <c r="AL27" s="547">
        <f t="shared" si="3"/>
        <v>4072677740</v>
      </c>
      <c r="AM27" s="547">
        <f t="shared" si="3"/>
        <v>0</v>
      </c>
      <c r="AN27" s="547">
        <f t="shared" si="3"/>
        <v>3581864420</v>
      </c>
      <c r="AO27" s="547">
        <f t="shared" si="3"/>
        <v>0</v>
      </c>
      <c r="AP27" s="547">
        <f t="shared" si="3"/>
        <v>842899360</v>
      </c>
    </row>
    <row r="28" spans="1:42">
      <c r="A28" s="521" t="s">
        <v>111</v>
      </c>
      <c r="B28" s="521"/>
      <c r="C28" s="521"/>
      <c r="D28" s="521"/>
      <c r="E28" s="521"/>
      <c r="F28" s="521"/>
      <c r="G28" s="521"/>
      <c r="H28" s="521"/>
      <c r="I28" s="521"/>
      <c r="J28" s="521"/>
      <c r="K28" s="521"/>
      <c r="L28" s="278"/>
      <c r="M28" s="278"/>
      <c r="N28" s="278"/>
      <c r="O28" s="278"/>
      <c r="P28" s="278"/>
      <c r="Q28" s="278"/>
      <c r="R28" s="283">
        <v>1</v>
      </c>
      <c r="S28" s="283">
        <v>1</v>
      </c>
      <c r="T28" s="283">
        <v>1</v>
      </c>
      <c r="U28" s="278"/>
      <c r="V28" s="292"/>
      <c r="W28" s="278"/>
      <c r="X28" s="278"/>
      <c r="Y28" s="278"/>
      <c r="Z28" s="278"/>
      <c r="AA28" s="278"/>
      <c r="AB28" s="278"/>
      <c r="AC28" s="278"/>
      <c r="AD28" s="278"/>
      <c r="AE28" s="278"/>
      <c r="AF28" s="278"/>
      <c r="AG28" s="278"/>
      <c r="AH28" s="278"/>
      <c r="AI28" s="546"/>
      <c r="AJ28" s="546">
        <f>'Cuadro General'!D25*'Reparto C&amp;B'!$D$56/3</f>
        <v>2165413780</v>
      </c>
      <c r="AK28" s="546"/>
      <c r="AL28" s="546">
        <f>'Cuadro General'!D25*'Reparto C&amp;B'!$D$56/3</f>
        <v>2165413780</v>
      </c>
      <c r="AM28" s="546"/>
      <c r="AN28" s="546">
        <f>'Cuadro General'!D25*'Reparto C&amp;B'!$D$56/3</f>
        <v>2165413780</v>
      </c>
      <c r="AO28" s="278"/>
      <c r="AP28" s="278"/>
    </row>
    <row r="29" spans="1:42">
      <c r="A29" s="521" t="s">
        <v>162</v>
      </c>
      <c r="B29" s="521"/>
      <c r="C29" s="521"/>
      <c r="D29" s="521"/>
      <c r="E29" s="521"/>
      <c r="F29" s="521"/>
      <c r="G29" s="521"/>
      <c r="H29" s="521"/>
      <c r="I29" s="521"/>
      <c r="J29" s="521"/>
      <c r="K29" s="521"/>
      <c r="L29" s="278"/>
      <c r="M29" s="278"/>
      <c r="N29" s="278"/>
      <c r="O29" s="278"/>
      <c r="P29" s="278"/>
      <c r="Q29" s="283">
        <v>1</v>
      </c>
      <c r="R29" s="283">
        <v>1</v>
      </c>
      <c r="S29" s="283">
        <v>1</v>
      </c>
      <c r="T29" s="283">
        <v>1</v>
      </c>
      <c r="U29" s="278"/>
      <c r="V29" s="292"/>
      <c r="W29" s="278"/>
      <c r="X29" s="278"/>
      <c r="Y29" s="278"/>
      <c r="Z29" s="278"/>
      <c r="AA29" s="278"/>
      <c r="AB29" s="278"/>
      <c r="AC29" s="278"/>
      <c r="AD29" s="278"/>
      <c r="AE29" s="278"/>
      <c r="AF29" s="278"/>
      <c r="AG29" s="546"/>
      <c r="AH29" s="546">
        <f>'Cuadro General'!D26*'Reparto C&amp;B'!D56/4</f>
        <v>573551280</v>
      </c>
      <c r="AI29" s="546"/>
      <c r="AJ29" s="546">
        <f>'Cuadro General'!D26*'Reparto C&amp;B'!D56/4</f>
        <v>573551280</v>
      </c>
      <c r="AK29" s="546"/>
      <c r="AL29" s="546">
        <f>'Cuadro General'!D26*'Reparto C&amp;B'!D56/4</f>
        <v>573551280</v>
      </c>
      <c r="AM29" s="546"/>
      <c r="AN29" s="546">
        <f>'Cuadro General'!D26*'Reparto C&amp;B'!D56/4</f>
        <v>573551280</v>
      </c>
      <c r="AO29" s="278"/>
      <c r="AP29" s="278"/>
    </row>
    <row r="30" spans="1:42">
      <c r="A30" s="521" t="s">
        <v>161</v>
      </c>
      <c r="B30" s="521"/>
      <c r="C30" s="521"/>
      <c r="D30" s="521"/>
      <c r="E30" s="521"/>
      <c r="F30" s="521"/>
      <c r="G30" s="521"/>
      <c r="H30" s="521"/>
      <c r="I30" s="521"/>
      <c r="J30" s="521"/>
      <c r="K30" s="521"/>
      <c r="L30" s="283">
        <v>1</v>
      </c>
      <c r="M30" s="283">
        <v>1</v>
      </c>
      <c r="N30" s="283">
        <v>1</v>
      </c>
      <c r="O30" s="283">
        <v>1</v>
      </c>
      <c r="P30" s="278"/>
      <c r="Q30" s="278"/>
      <c r="R30" s="278"/>
      <c r="S30" s="278"/>
      <c r="T30" s="278"/>
      <c r="U30" s="278"/>
      <c r="V30" s="292"/>
      <c r="W30" s="546"/>
      <c r="X30" s="546">
        <f>'Cuadro General'!D27*'Reparto C&amp;B'!D56/4</f>
        <v>354529800</v>
      </c>
      <c r="Y30" s="546"/>
      <c r="Z30" s="546">
        <f>'Cuadro General'!D27*'Reparto C&amp;B'!D56/4</f>
        <v>354529800</v>
      </c>
      <c r="AA30" s="546"/>
      <c r="AB30" s="546">
        <f>'Cuadro General'!D27*'Reparto C&amp;B'!D56/4</f>
        <v>354529800</v>
      </c>
      <c r="AC30" s="546"/>
      <c r="AD30" s="546">
        <f>'Cuadro General'!D27*'Reparto C&amp;B'!D56/4</f>
        <v>354529800</v>
      </c>
      <c r="AE30" s="278"/>
      <c r="AF30" s="278"/>
      <c r="AG30" s="278"/>
      <c r="AH30" s="278"/>
      <c r="AI30" s="278"/>
      <c r="AJ30" s="278"/>
      <c r="AK30" s="278"/>
      <c r="AL30" s="278"/>
      <c r="AM30" s="278"/>
      <c r="AN30" s="278"/>
      <c r="AO30" s="278"/>
      <c r="AP30" s="278"/>
    </row>
    <row r="31" spans="1:42">
      <c r="A31" s="521" t="s">
        <v>157</v>
      </c>
      <c r="B31" s="521"/>
      <c r="C31" s="521"/>
      <c r="D31" s="521"/>
      <c r="E31" s="521"/>
      <c r="F31" s="521"/>
      <c r="G31" s="521"/>
      <c r="H31" s="521"/>
      <c r="I31" s="521"/>
      <c r="J31" s="521"/>
      <c r="K31" s="521"/>
      <c r="L31" s="278"/>
      <c r="M31" s="278"/>
      <c r="N31" s="278"/>
      <c r="O31" s="278"/>
      <c r="P31" s="278"/>
      <c r="Q31" s="283">
        <v>1</v>
      </c>
      <c r="R31" s="283">
        <v>1</v>
      </c>
      <c r="S31" s="283">
        <v>1</v>
      </c>
      <c r="T31" s="278"/>
      <c r="U31" s="278"/>
      <c r="V31" s="292"/>
      <c r="W31" s="278"/>
      <c r="X31" s="278"/>
      <c r="Y31" s="278"/>
      <c r="Z31" s="278"/>
      <c r="AA31" s="278"/>
      <c r="AB31" s="278"/>
      <c r="AC31" s="278"/>
      <c r="AD31" s="278"/>
      <c r="AE31" s="278"/>
      <c r="AF31" s="278"/>
      <c r="AG31" s="546"/>
      <c r="AH31" s="546">
        <f>'Cuadro General'!D28*'Reparto C&amp;B'!D56/3</f>
        <v>490813320</v>
      </c>
      <c r="AI31" s="546"/>
      <c r="AJ31" s="546">
        <f>'Cuadro General'!D28*'Reparto C&amp;B'!D56/3</f>
        <v>490813320</v>
      </c>
      <c r="AK31" s="546"/>
      <c r="AL31" s="546">
        <f>'Cuadro General'!D28*'Reparto C&amp;B'!D56/3</f>
        <v>490813320</v>
      </c>
      <c r="AM31" s="278"/>
      <c r="AN31" s="278"/>
      <c r="AO31" s="278"/>
      <c r="AP31" s="278"/>
    </row>
    <row r="32" spans="1:42">
      <c r="A32" s="521" t="s">
        <v>158</v>
      </c>
      <c r="B32" s="521"/>
      <c r="C32" s="521"/>
      <c r="D32" s="521"/>
      <c r="E32" s="521"/>
      <c r="F32" s="521"/>
      <c r="G32" s="521"/>
      <c r="H32" s="521"/>
      <c r="I32" s="521"/>
      <c r="J32" s="521"/>
      <c r="K32" s="521"/>
      <c r="L32" s="278"/>
      <c r="M32" s="278"/>
      <c r="N32" s="278"/>
      <c r="O32" s="278"/>
      <c r="P32" s="278"/>
      <c r="Q32" s="278"/>
      <c r="R32" s="278"/>
      <c r="S32" s="283">
        <v>1</v>
      </c>
      <c r="T32" s="283">
        <v>1</v>
      </c>
      <c r="U32" s="283">
        <v>1</v>
      </c>
      <c r="V32" s="292"/>
      <c r="W32" s="278"/>
      <c r="X32" s="278"/>
      <c r="Y32" s="278"/>
      <c r="Z32" s="278"/>
      <c r="AA32" s="278"/>
      <c r="AB32" s="278"/>
      <c r="AC32" s="278"/>
      <c r="AD32" s="278"/>
      <c r="AE32" s="278"/>
      <c r="AF32" s="278"/>
      <c r="AG32" s="278"/>
      <c r="AH32" s="278"/>
      <c r="AI32" s="278"/>
      <c r="AJ32" s="278"/>
      <c r="AK32" s="546"/>
      <c r="AL32" s="546">
        <f>'Cuadro General'!D29*'Reparto C&amp;B'!D56/3</f>
        <v>842899360</v>
      </c>
      <c r="AM32" s="546"/>
      <c r="AN32" s="546">
        <f>'Cuadro General'!D29*'Reparto C&amp;B'!D56/3</f>
        <v>842899360</v>
      </c>
      <c r="AO32" s="546"/>
      <c r="AP32" s="546">
        <f>'Cuadro General'!D29*'Reparto C&amp;B'!D56/3</f>
        <v>842899360</v>
      </c>
    </row>
    <row r="33" spans="1:42" ht="19">
      <c r="A33" s="522" t="s">
        <v>57</v>
      </c>
      <c r="B33" s="522"/>
      <c r="C33" s="522"/>
      <c r="D33" s="522"/>
      <c r="E33" s="522"/>
      <c r="F33" s="522"/>
      <c r="G33" s="522"/>
      <c r="H33" s="522"/>
      <c r="I33" s="522"/>
      <c r="J33" s="522"/>
      <c r="K33" s="522"/>
      <c r="L33" s="278"/>
      <c r="M33" s="278"/>
      <c r="N33" s="278"/>
      <c r="O33" s="287"/>
      <c r="P33" s="287"/>
      <c r="Q33" s="287"/>
      <c r="R33" s="287"/>
      <c r="S33" s="287"/>
      <c r="T33" s="287"/>
      <c r="U33" s="278"/>
      <c r="V33" s="292"/>
      <c r="W33" s="278"/>
      <c r="X33" s="278"/>
      <c r="Y33" s="278"/>
      <c r="Z33" s="278"/>
      <c r="AA33" s="278"/>
      <c r="AB33" s="278"/>
      <c r="AC33" s="547">
        <f>SUM(AC34:AC36)</f>
        <v>0</v>
      </c>
      <c r="AD33" s="547">
        <f t="shared" ref="AD33:AN33" si="4">SUM(AD34:AD36)</f>
        <v>793365000</v>
      </c>
      <c r="AE33" s="547">
        <f t="shared" si="4"/>
        <v>0</v>
      </c>
      <c r="AF33" s="547">
        <f t="shared" si="4"/>
        <v>1026237750</v>
      </c>
      <c r="AG33" s="547">
        <f t="shared" si="4"/>
        <v>0</v>
      </c>
      <c r="AH33" s="547">
        <f t="shared" si="4"/>
        <v>1370964125.0000002</v>
      </c>
      <c r="AI33" s="547">
        <f t="shared" si="4"/>
        <v>0</v>
      </c>
      <c r="AJ33" s="547">
        <f t="shared" si="4"/>
        <v>1370964125.0000002</v>
      </c>
      <c r="AK33" s="547">
        <f t="shared" si="4"/>
        <v>0</v>
      </c>
      <c r="AL33" s="547">
        <f t="shared" si="4"/>
        <v>1370964125.0000002</v>
      </c>
      <c r="AM33" s="547">
        <f t="shared" si="4"/>
        <v>0</v>
      </c>
      <c r="AN33" s="547">
        <f t="shared" si="4"/>
        <v>1370964125.0000002</v>
      </c>
      <c r="AO33" s="278"/>
      <c r="AP33" s="278"/>
    </row>
    <row r="34" spans="1:42">
      <c r="A34" s="521" t="s">
        <v>120</v>
      </c>
      <c r="B34" s="521"/>
      <c r="C34" s="521"/>
      <c r="D34" s="521"/>
      <c r="E34" s="521"/>
      <c r="F34" s="521"/>
      <c r="G34" s="521"/>
      <c r="H34" s="521"/>
      <c r="I34" s="521"/>
      <c r="J34" s="521"/>
      <c r="K34" s="521"/>
      <c r="L34" s="278"/>
      <c r="M34" s="278"/>
      <c r="N34" s="278"/>
      <c r="O34" s="283">
        <v>1</v>
      </c>
      <c r="P34" s="278"/>
      <c r="Q34" s="278"/>
      <c r="R34" s="278"/>
      <c r="S34" s="278"/>
      <c r="T34" s="278"/>
      <c r="U34" s="278"/>
      <c r="V34" s="292"/>
      <c r="W34" s="278"/>
      <c r="X34" s="278"/>
      <c r="Y34" s="278"/>
      <c r="Z34" s="278"/>
      <c r="AA34" s="278"/>
      <c r="AB34" s="278"/>
      <c r="AC34" s="546"/>
      <c r="AD34" s="546">
        <f>'Cuadro General'!D31*'Reparto C&amp;B'!D57</f>
        <v>793365000</v>
      </c>
      <c r="AE34" s="278"/>
      <c r="AF34" s="278"/>
      <c r="AG34" s="278"/>
      <c r="AH34" s="278"/>
      <c r="AI34" s="278"/>
      <c r="AJ34" s="278"/>
      <c r="AK34" s="278"/>
      <c r="AL34" s="278"/>
      <c r="AM34" s="278"/>
      <c r="AN34" s="278"/>
      <c r="AO34" s="278"/>
      <c r="AP34" s="278"/>
    </row>
    <row r="35" spans="1:42">
      <c r="A35" s="521" t="s">
        <v>121</v>
      </c>
      <c r="B35" s="521"/>
      <c r="C35" s="521"/>
      <c r="D35" s="521"/>
      <c r="E35" s="521"/>
      <c r="F35" s="521"/>
      <c r="G35" s="521"/>
      <c r="H35" s="521"/>
      <c r="I35" s="521"/>
      <c r="J35" s="521"/>
      <c r="K35" s="521"/>
      <c r="L35" s="278"/>
      <c r="M35" s="278"/>
      <c r="N35" s="278"/>
      <c r="O35" s="278"/>
      <c r="P35" s="283">
        <v>1</v>
      </c>
      <c r="Q35" s="278"/>
      <c r="R35" s="278"/>
      <c r="S35" s="278"/>
      <c r="T35" s="278"/>
      <c r="U35" s="278"/>
      <c r="V35" s="292"/>
      <c r="W35" s="278"/>
      <c r="X35" s="278"/>
      <c r="Y35" s="278"/>
      <c r="Z35" s="278"/>
      <c r="AA35" s="278"/>
      <c r="AB35" s="278"/>
      <c r="AC35" s="278"/>
      <c r="AD35" s="278"/>
      <c r="AE35" s="546"/>
      <c r="AF35" s="546">
        <f>'Cuadro General'!D32*'Reparto C&amp;B'!D57</f>
        <v>1026237750</v>
      </c>
      <c r="AG35" s="278"/>
      <c r="AH35" s="278"/>
      <c r="AI35" s="278"/>
      <c r="AJ35" s="278"/>
      <c r="AK35" s="278"/>
      <c r="AL35" s="278"/>
      <c r="AM35" s="278"/>
      <c r="AN35" s="278"/>
      <c r="AO35" s="278"/>
      <c r="AP35" s="278"/>
    </row>
    <row r="36" spans="1:42">
      <c r="A36" s="521" t="s">
        <v>208</v>
      </c>
      <c r="B36" s="521"/>
      <c r="C36" s="521"/>
      <c r="D36" s="521"/>
      <c r="E36" s="521"/>
      <c r="F36" s="521"/>
      <c r="G36" s="521"/>
      <c r="H36" s="521"/>
      <c r="I36" s="521"/>
      <c r="J36" s="521"/>
      <c r="K36" s="521"/>
      <c r="L36" s="278"/>
      <c r="M36" s="278"/>
      <c r="N36" s="278"/>
      <c r="O36" s="278"/>
      <c r="P36" s="278"/>
      <c r="Q36" s="283">
        <v>1</v>
      </c>
      <c r="R36" s="283">
        <v>1</v>
      </c>
      <c r="S36" s="283">
        <v>1</v>
      </c>
      <c r="T36" s="283">
        <v>1</v>
      </c>
      <c r="U36" s="278"/>
      <c r="V36" s="292"/>
      <c r="W36" s="278"/>
      <c r="X36" s="278"/>
      <c r="Y36" s="278"/>
      <c r="Z36" s="278"/>
      <c r="AA36" s="278"/>
      <c r="AB36" s="278"/>
      <c r="AC36" s="278"/>
      <c r="AD36" s="278"/>
      <c r="AE36" s="278"/>
      <c r="AF36" s="278"/>
      <c r="AG36" s="546"/>
      <c r="AH36" s="546">
        <f>'Cuadro General'!D33*'Reparto C&amp;B'!D57/4</f>
        <v>1370964125.0000002</v>
      </c>
      <c r="AI36" s="546"/>
      <c r="AJ36" s="546">
        <f>'Cuadro General'!D33*'Reparto C&amp;B'!D57/4</f>
        <v>1370964125.0000002</v>
      </c>
      <c r="AK36" s="546"/>
      <c r="AL36" s="546">
        <f>'Cuadro General'!D33*'Reparto C&amp;B'!D57/4</f>
        <v>1370964125.0000002</v>
      </c>
      <c r="AM36" s="546"/>
      <c r="AN36" s="546">
        <f>'Cuadro General'!D33*'Reparto C&amp;B'!D57/4</f>
        <v>1370964125.0000002</v>
      </c>
      <c r="AO36" s="278"/>
      <c r="AP36" s="278"/>
    </row>
    <row r="37" spans="1:42" ht="19">
      <c r="A37" s="522" t="s">
        <v>232</v>
      </c>
      <c r="B37" s="522"/>
      <c r="C37" s="522"/>
      <c r="D37" s="522"/>
      <c r="E37" s="522"/>
      <c r="F37" s="522"/>
      <c r="G37" s="522"/>
      <c r="H37" s="522"/>
      <c r="I37" s="522"/>
      <c r="J37" s="522"/>
      <c r="K37" s="522"/>
      <c r="L37" s="278"/>
      <c r="M37" s="278"/>
      <c r="N37" s="287"/>
      <c r="O37" s="287"/>
      <c r="P37" s="287"/>
      <c r="Q37" s="287"/>
      <c r="R37" s="287"/>
      <c r="S37" s="287"/>
      <c r="T37" s="287"/>
      <c r="U37" s="287"/>
      <c r="V37" s="292"/>
      <c r="W37" s="278"/>
      <c r="X37" s="278"/>
      <c r="Y37" s="278"/>
      <c r="Z37" s="278"/>
      <c r="AA37" s="547">
        <f>SUM(AA38:AA48)</f>
        <v>0</v>
      </c>
      <c r="AB37" s="547">
        <f t="shared" ref="AB37:AP37" si="5">SUM(AB38:AB48)</f>
        <v>2870002800</v>
      </c>
      <c r="AC37" s="547">
        <f t="shared" si="5"/>
        <v>0</v>
      </c>
      <c r="AD37" s="547">
        <f t="shared" si="5"/>
        <v>3836263320</v>
      </c>
      <c r="AE37" s="547">
        <f t="shared" si="5"/>
        <v>0</v>
      </c>
      <c r="AF37" s="547">
        <f t="shared" si="5"/>
        <v>1809897480</v>
      </c>
      <c r="AG37" s="547">
        <f t="shared" si="5"/>
        <v>0</v>
      </c>
      <c r="AH37" s="547">
        <f t="shared" si="5"/>
        <v>1426232880</v>
      </c>
      <c r="AI37" s="547">
        <f t="shared" si="5"/>
        <v>0</v>
      </c>
      <c r="AJ37" s="547">
        <f t="shared" si="5"/>
        <v>2642239410</v>
      </c>
      <c r="AK37" s="547">
        <f t="shared" si="5"/>
        <v>0</v>
      </c>
      <c r="AL37" s="547">
        <f t="shared" si="5"/>
        <v>1972142969.9999998</v>
      </c>
      <c r="AM37" s="547">
        <f t="shared" si="5"/>
        <v>0</v>
      </c>
      <c r="AN37" s="547">
        <f t="shared" si="5"/>
        <v>1908851549.9999998</v>
      </c>
      <c r="AO37" s="547">
        <f t="shared" si="5"/>
        <v>0</v>
      </c>
      <c r="AP37" s="547">
        <f t="shared" si="5"/>
        <v>1299388829.9999998</v>
      </c>
    </row>
    <row r="38" spans="1:42">
      <c r="A38" s="521" t="s">
        <v>86</v>
      </c>
      <c r="B38" s="521"/>
      <c r="C38" s="521"/>
      <c r="D38" s="521"/>
      <c r="E38" s="521"/>
      <c r="F38" s="521"/>
      <c r="G38" s="521"/>
      <c r="H38" s="521"/>
      <c r="I38" s="521"/>
      <c r="J38" s="521"/>
      <c r="K38" s="521"/>
      <c r="L38" s="278"/>
      <c r="M38" s="278"/>
      <c r="N38" s="278"/>
      <c r="O38" s="278"/>
      <c r="P38" s="278"/>
      <c r="Q38" s="278"/>
      <c r="R38" s="278"/>
      <c r="S38" s="278"/>
      <c r="T38" s="278"/>
      <c r="U38" s="278"/>
      <c r="V38" s="292"/>
      <c r="W38" s="278"/>
      <c r="X38" s="278"/>
      <c r="Y38" s="278"/>
      <c r="Z38" s="278"/>
      <c r="AA38" s="546"/>
      <c r="AB38" s="546">
        <f>'Cuadro General'!D35*'Reparto C&amp;B'!D58*50%</f>
        <v>1548961080</v>
      </c>
      <c r="AC38" s="546"/>
      <c r="AD38" s="546">
        <v>1548961080</v>
      </c>
      <c r="AE38" s="278"/>
      <c r="AF38" s="278"/>
      <c r="AG38" s="278"/>
      <c r="AH38" s="278"/>
      <c r="AI38" s="278"/>
      <c r="AJ38" s="278"/>
      <c r="AK38" s="278"/>
      <c r="AL38" s="278"/>
      <c r="AM38" s="278"/>
      <c r="AN38" s="278"/>
      <c r="AO38" s="278"/>
      <c r="AP38" s="278"/>
    </row>
    <row r="39" spans="1:42">
      <c r="A39" s="521" t="s">
        <v>253</v>
      </c>
      <c r="B39" s="521"/>
      <c r="C39" s="521"/>
      <c r="D39" s="521"/>
      <c r="E39" s="521"/>
      <c r="F39" s="521"/>
      <c r="G39" s="521"/>
      <c r="H39" s="521"/>
      <c r="I39" s="521"/>
      <c r="J39" s="521"/>
      <c r="K39" s="521"/>
      <c r="L39" s="278"/>
      <c r="M39" s="278"/>
      <c r="N39" s="278"/>
      <c r="O39" s="278"/>
      <c r="P39" s="278"/>
      <c r="Q39" s="278"/>
      <c r="R39" s="278"/>
      <c r="S39" s="278"/>
      <c r="T39" s="278"/>
      <c r="U39" s="278"/>
      <c r="V39" s="292"/>
      <c r="W39" s="278"/>
      <c r="X39" s="278"/>
      <c r="Y39" s="278"/>
      <c r="Z39" s="278"/>
      <c r="AA39" s="278"/>
      <c r="AB39" s="278"/>
      <c r="AC39" s="278"/>
      <c r="AD39" s="278"/>
      <c r="AE39" s="278"/>
      <c r="AF39" s="278"/>
      <c r="AG39" s="546"/>
      <c r="AH39" s="546">
        <f>'Cuadro General'!D36*'Reparto C&amp;B'!D58</f>
        <v>756136440</v>
      </c>
      <c r="AI39" s="278"/>
      <c r="AJ39" s="278"/>
      <c r="AK39" s="278"/>
      <c r="AL39" s="278"/>
      <c r="AM39" s="278"/>
      <c r="AN39" s="278"/>
      <c r="AO39" s="278"/>
      <c r="AP39" s="278"/>
    </row>
    <row r="40" spans="1:42">
      <c r="A40" s="521" t="s">
        <v>152</v>
      </c>
      <c r="B40" s="521"/>
      <c r="C40" s="521"/>
      <c r="D40" s="521"/>
      <c r="E40" s="521"/>
      <c r="F40" s="521"/>
      <c r="G40" s="521"/>
      <c r="H40" s="521"/>
      <c r="I40" s="521"/>
      <c r="J40" s="521"/>
      <c r="K40" s="521"/>
      <c r="L40" s="278"/>
      <c r="M40" s="278"/>
      <c r="N40" s="278"/>
      <c r="O40" s="278"/>
      <c r="P40" s="278"/>
      <c r="Q40" s="278"/>
      <c r="R40" s="278"/>
      <c r="S40" s="278"/>
      <c r="T40" s="278"/>
      <c r="U40" s="278"/>
      <c r="V40" s="292"/>
      <c r="W40" s="278"/>
      <c r="X40" s="278"/>
      <c r="Y40" s="278"/>
      <c r="Z40" s="278"/>
      <c r="AA40" s="278"/>
      <c r="AB40" s="278"/>
      <c r="AC40" s="546"/>
      <c r="AD40" s="546">
        <f>'Cuadro General'!D37*'Reparto C&amp;B'!D58/2</f>
        <v>966260520</v>
      </c>
      <c r="AE40" s="546"/>
      <c r="AF40" s="546">
        <f>'Cuadro General'!D37*'Reparto C&amp;B'!D58/2</f>
        <v>966260520</v>
      </c>
      <c r="AG40" s="278"/>
      <c r="AH40" s="278"/>
      <c r="AI40" s="278"/>
      <c r="AJ40" s="278"/>
      <c r="AK40" s="278"/>
      <c r="AL40" s="278"/>
      <c r="AM40" s="278"/>
      <c r="AN40" s="278"/>
      <c r="AO40" s="278"/>
      <c r="AP40" s="278"/>
    </row>
    <row r="41" spans="1:42">
      <c r="A41" s="521" t="s">
        <v>88</v>
      </c>
      <c r="B41" s="521"/>
      <c r="C41" s="521"/>
      <c r="D41" s="521"/>
      <c r="E41" s="521"/>
      <c r="F41" s="521"/>
      <c r="G41" s="521"/>
      <c r="H41" s="521"/>
      <c r="I41" s="521"/>
      <c r="J41" s="521"/>
      <c r="K41" s="521"/>
      <c r="L41" s="278"/>
      <c r="M41" s="278"/>
      <c r="N41" s="278"/>
      <c r="O41" s="278"/>
      <c r="P41" s="278"/>
      <c r="Q41" s="278"/>
      <c r="R41" s="278"/>
      <c r="S41" s="278"/>
      <c r="T41" s="278"/>
      <c r="U41" s="278"/>
      <c r="V41" s="292"/>
      <c r="W41" s="278"/>
      <c r="X41" s="278"/>
      <c r="Y41" s="278"/>
      <c r="Z41" s="278"/>
      <c r="AA41" s="278"/>
      <c r="AB41" s="278"/>
      <c r="AC41" s="278"/>
      <c r="AD41" s="278"/>
      <c r="AE41" s="278"/>
      <c r="AF41" s="278"/>
      <c r="AG41" s="278"/>
      <c r="AH41" s="278"/>
      <c r="AI41" s="546"/>
      <c r="AJ41" s="546">
        <f>'Cuadro General'!D38*'Reparto C&amp;B'!D58/4</f>
        <v>1299388829.9999998</v>
      </c>
      <c r="AK41" s="546"/>
      <c r="AL41" s="546">
        <f>'Cuadro General'!D38*'Reparto C&amp;B'!D58/4</f>
        <v>1299388829.9999998</v>
      </c>
      <c r="AM41" s="546"/>
      <c r="AN41" s="546">
        <f>'Cuadro General'!D38*'Reparto C&amp;B'!D58/4</f>
        <v>1299388829.9999998</v>
      </c>
      <c r="AO41" s="546"/>
      <c r="AP41" s="546">
        <f>'Cuadro General'!D38*'Reparto C&amp;B'!D58/4</f>
        <v>1299388829.9999998</v>
      </c>
    </row>
    <row r="42" spans="1:42">
      <c r="A42" s="521" t="s">
        <v>89</v>
      </c>
      <c r="B42" s="521"/>
      <c r="C42" s="521"/>
      <c r="D42" s="521"/>
      <c r="E42" s="521"/>
      <c r="F42" s="521"/>
      <c r="G42" s="521"/>
      <c r="H42" s="521"/>
      <c r="I42" s="521"/>
      <c r="J42" s="521"/>
      <c r="K42" s="521"/>
      <c r="L42" s="278"/>
      <c r="M42" s="278"/>
      <c r="N42" s="278"/>
      <c r="O42" s="278"/>
      <c r="P42" s="278"/>
      <c r="Q42" s="278"/>
      <c r="R42" s="278"/>
      <c r="S42" s="278"/>
      <c r="T42" s="278"/>
      <c r="U42" s="278"/>
      <c r="V42" s="292"/>
      <c r="W42" s="278"/>
      <c r="X42" s="278"/>
      <c r="Y42" s="278"/>
      <c r="Z42" s="278"/>
      <c r="AA42" s="546"/>
      <c r="AB42" s="546">
        <f>'Cuadro General'!D39*'Reparto C&amp;B'!D58/2</f>
        <v>1321041720</v>
      </c>
      <c r="AC42" s="546"/>
      <c r="AD42" s="546">
        <f>'Cuadro General'!D39*'Reparto C&amp;B'!D58/2</f>
        <v>1321041720</v>
      </c>
      <c r="AE42" s="278"/>
      <c r="AF42" s="278"/>
      <c r="AG42" s="278"/>
      <c r="AH42" s="278"/>
      <c r="AI42" s="278"/>
      <c r="AJ42" s="278"/>
      <c r="AK42" s="278"/>
      <c r="AL42" s="278"/>
      <c r="AM42" s="278"/>
      <c r="AN42" s="278"/>
      <c r="AO42" s="278"/>
      <c r="AP42" s="278"/>
    </row>
    <row r="43" spans="1:42">
      <c r="A43" s="521" t="s">
        <v>90</v>
      </c>
      <c r="B43" s="521"/>
      <c r="C43" s="521"/>
      <c r="D43" s="521"/>
      <c r="E43" s="521"/>
      <c r="F43" s="521"/>
      <c r="G43" s="521"/>
      <c r="H43" s="521"/>
      <c r="I43" s="521"/>
      <c r="J43" s="521"/>
      <c r="K43" s="521"/>
      <c r="L43" s="278"/>
      <c r="M43" s="278"/>
      <c r="N43" s="278"/>
      <c r="O43" s="278"/>
      <c r="P43" s="278"/>
      <c r="Q43" s="278"/>
      <c r="R43" s="278"/>
      <c r="S43" s="278"/>
      <c r="T43" s="278"/>
      <c r="U43" s="278"/>
      <c r="V43" s="292"/>
      <c r="W43" s="278"/>
      <c r="X43" s="278"/>
      <c r="Y43" s="278"/>
      <c r="Z43" s="278"/>
      <c r="AA43" s="278"/>
      <c r="AB43" s="278"/>
      <c r="AC43" s="278"/>
      <c r="AD43" s="278"/>
      <c r="AE43" s="278"/>
      <c r="AF43" s="278"/>
      <c r="AG43" s="278"/>
      <c r="AH43" s="278"/>
      <c r="AI43" s="546"/>
      <c r="AJ43" s="546">
        <f>'Cuadro General'!D40*'Reparto C&amp;B'!D58/2</f>
        <v>672754140</v>
      </c>
      <c r="AK43" s="546"/>
      <c r="AL43" s="546">
        <f>'Cuadro General'!D40*'Reparto C&amp;B'!D58/2</f>
        <v>672754140</v>
      </c>
      <c r="AM43" s="278"/>
      <c r="AN43" s="278"/>
      <c r="AO43" s="278"/>
      <c r="AP43" s="278"/>
    </row>
    <row r="44" spans="1:42">
      <c r="A44" s="521" t="s">
        <v>153</v>
      </c>
      <c r="B44" s="521"/>
      <c r="C44" s="521"/>
      <c r="D44" s="521"/>
      <c r="E44" s="521"/>
      <c r="F44" s="521"/>
      <c r="G44" s="521"/>
      <c r="H44" s="521"/>
      <c r="I44" s="521"/>
      <c r="J44" s="521"/>
      <c r="K44" s="521"/>
      <c r="L44" s="278"/>
      <c r="M44" s="278"/>
      <c r="N44" s="278"/>
      <c r="O44" s="278"/>
      <c r="P44" s="278"/>
      <c r="Q44" s="278"/>
      <c r="R44" s="278"/>
      <c r="S44" s="278"/>
      <c r="T44" s="278"/>
      <c r="U44" s="278"/>
      <c r="V44" s="292"/>
      <c r="W44" s="278"/>
      <c r="X44" s="278"/>
      <c r="Y44" s="278"/>
      <c r="Z44" s="278"/>
      <c r="AA44" s="278"/>
      <c r="AB44" s="278"/>
      <c r="AC44" s="278"/>
      <c r="AD44" s="278"/>
      <c r="AE44" s="546"/>
      <c r="AF44" s="546">
        <f>'Cuadro General'!D41*'Reparto C&amp;B'!D58</f>
        <v>173540520</v>
      </c>
      <c r="AG44" s="278"/>
      <c r="AH44" s="278"/>
      <c r="AI44" s="278"/>
      <c r="AJ44" s="278"/>
      <c r="AK44" s="278"/>
      <c r="AL44" s="278"/>
      <c r="AM44" s="278"/>
      <c r="AN44" s="278"/>
      <c r="AO44" s="278"/>
      <c r="AP44" s="278"/>
    </row>
    <row r="45" spans="1:42">
      <c r="A45" s="521" t="s">
        <v>91</v>
      </c>
      <c r="B45" s="521"/>
      <c r="C45" s="521"/>
      <c r="D45" s="521"/>
      <c r="E45" s="521"/>
      <c r="F45" s="521"/>
      <c r="G45" s="521"/>
      <c r="H45" s="521"/>
      <c r="I45" s="521"/>
      <c r="J45" s="521"/>
      <c r="K45" s="521"/>
      <c r="L45" s="278"/>
      <c r="M45" s="278"/>
      <c r="N45" s="278"/>
      <c r="O45" s="278"/>
      <c r="P45" s="278"/>
      <c r="Q45" s="278"/>
      <c r="R45" s="278"/>
      <c r="S45" s="278"/>
      <c r="T45" s="278"/>
      <c r="U45" s="278"/>
      <c r="V45" s="292"/>
      <c r="W45" s="278"/>
      <c r="X45" s="278"/>
      <c r="Y45" s="278"/>
      <c r="Z45" s="278"/>
      <c r="AA45" s="278"/>
      <c r="AB45" s="278"/>
      <c r="AC45" s="278"/>
      <c r="AD45" s="278"/>
      <c r="AE45" s="278"/>
      <c r="AF45" s="278"/>
      <c r="AG45" s="278"/>
      <c r="AH45" s="278"/>
      <c r="AI45" s="278"/>
      <c r="AJ45" s="278"/>
      <c r="AK45" s="278"/>
      <c r="AL45" s="278"/>
      <c r="AM45" s="546"/>
      <c r="AN45" s="546">
        <f>'Cuadro General'!D42*'Reparto C&amp;B'!D58</f>
        <v>422758440</v>
      </c>
      <c r="AO45" s="278"/>
      <c r="AP45" s="278"/>
    </row>
    <row r="46" spans="1:42">
      <c r="A46" s="521" t="s">
        <v>92</v>
      </c>
      <c r="B46" s="521"/>
      <c r="C46" s="521"/>
      <c r="D46" s="521"/>
      <c r="E46" s="521"/>
      <c r="F46" s="521"/>
      <c r="G46" s="521"/>
      <c r="H46" s="521"/>
      <c r="I46" s="521"/>
      <c r="J46" s="521"/>
      <c r="K46" s="521"/>
      <c r="L46" s="278"/>
      <c r="M46" s="278"/>
      <c r="N46" s="278"/>
      <c r="O46" s="278"/>
      <c r="P46" s="278"/>
      <c r="Q46" s="278"/>
      <c r="R46" s="278"/>
      <c r="S46" s="278"/>
      <c r="T46" s="278"/>
      <c r="U46" s="278"/>
      <c r="V46" s="292"/>
      <c r="W46" s="278"/>
      <c r="X46" s="278"/>
      <c r="Y46" s="278"/>
      <c r="Z46" s="278"/>
      <c r="AA46" s="278"/>
      <c r="AB46" s="278"/>
      <c r="AC46" s="278"/>
      <c r="AD46" s="278"/>
      <c r="AE46" s="278"/>
      <c r="AF46" s="278"/>
      <c r="AG46" s="278"/>
      <c r="AH46" s="278"/>
      <c r="AI46" s="278"/>
      <c r="AJ46" s="278"/>
      <c r="AK46" s="278"/>
      <c r="AL46" s="278"/>
      <c r="AM46" s="546"/>
      <c r="AN46" s="546">
        <f>'Cuadro General'!D43*'Reparto C&amp;B'!D58</f>
        <v>111840360</v>
      </c>
      <c r="AO46" s="278"/>
      <c r="AP46" s="278"/>
    </row>
    <row r="47" spans="1:42">
      <c r="A47" s="521" t="s">
        <v>93</v>
      </c>
      <c r="B47" s="521"/>
      <c r="C47" s="521"/>
      <c r="D47" s="521"/>
      <c r="E47" s="521"/>
      <c r="F47" s="521"/>
      <c r="G47" s="521"/>
      <c r="H47" s="521"/>
      <c r="I47" s="521"/>
      <c r="J47" s="521"/>
      <c r="K47" s="521"/>
      <c r="L47" s="278"/>
      <c r="M47" s="278"/>
      <c r="N47" s="278"/>
      <c r="O47" s="278"/>
      <c r="P47" s="278"/>
      <c r="Q47" s="278"/>
      <c r="R47" s="278"/>
      <c r="S47" s="278"/>
      <c r="T47" s="278"/>
      <c r="U47" s="278"/>
      <c r="V47" s="292"/>
      <c r="W47" s="278"/>
      <c r="X47" s="278"/>
      <c r="Y47" s="278"/>
      <c r="Z47" s="278"/>
      <c r="AA47" s="278"/>
      <c r="AB47" s="278"/>
      <c r="AC47" s="278"/>
      <c r="AD47" s="278"/>
      <c r="AE47" s="278"/>
      <c r="AF47" s="278"/>
      <c r="AG47" s="278"/>
      <c r="AH47" s="278"/>
      <c r="AI47" s="278"/>
      <c r="AJ47" s="278"/>
      <c r="AK47" s="278"/>
      <c r="AL47" s="278"/>
      <c r="AM47" s="546"/>
      <c r="AN47" s="546">
        <f>'Cuadro General'!D44*'Reparto C&amp;B'!D58</f>
        <v>74863920</v>
      </c>
      <c r="AO47" s="278"/>
      <c r="AP47" s="278"/>
    </row>
    <row r="48" spans="1:42">
      <c r="A48" s="549" t="s">
        <v>254</v>
      </c>
      <c r="B48" s="549"/>
      <c r="C48" s="549"/>
      <c r="D48" s="549"/>
      <c r="E48" s="549"/>
      <c r="F48" s="549"/>
      <c r="G48" s="549"/>
      <c r="H48" s="549"/>
      <c r="I48" s="549"/>
      <c r="J48" s="549"/>
      <c r="K48" s="549"/>
      <c r="L48" s="278"/>
      <c r="M48" s="278"/>
      <c r="N48" s="278"/>
      <c r="O48" s="278"/>
      <c r="P48" s="278"/>
      <c r="Q48" s="278"/>
      <c r="R48" s="278"/>
      <c r="S48" s="278"/>
      <c r="T48" s="278"/>
      <c r="U48" s="278"/>
      <c r="V48" s="292"/>
      <c r="W48" s="278"/>
      <c r="X48" s="278"/>
      <c r="Y48" s="278"/>
      <c r="Z48" s="278"/>
      <c r="AA48" s="278"/>
      <c r="AB48" s="278"/>
      <c r="AC48" s="278"/>
      <c r="AD48" s="278"/>
      <c r="AE48" s="546"/>
      <c r="AF48" s="546">
        <f>'Cuadro General'!D45*'Reparto C&amp;B'!D58/3</f>
        <v>670096440</v>
      </c>
      <c r="AG48" s="546"/>
      <c r="AH48" s="546">
        <f>'Cuadro General'!D45*'Reparto C&amp;B'!D58/3</f>
        <v>670096440</v>
      </c>
      <c r="AI48" s="546"/>
      <c r="AJ48" s="546">
        <f>'Cuadro General'!D45*'Reparto C&amp;B'!D58/3</f>
        <v>670096440</v>
      </c>
      <c r="AK48" s="278"/>
      <c r="AL48" s="278"/>
      <c r="AM48" s="278"/>
      <c r="AN48" s="278"/>
      <c r="AO48" s="278"/>
      <c r="AP48" s="278"/>
    </row>
    <row r="49" spans="23:42">
      <c r="W49" s="555">
        <f t="shared" ref="W49:AC49" si="6">W8+W22+W27+W33+W37</f>
        <v>6592944216.1827583</v>
      </c>
      <c r="X49" s="555">
        <f>X8</f>
        <v>18394881973.585304</v>
      </c>
      <c r="Y49" s="555">
        <f t="shared" si="6"/>
        <v>17645553201.298271</v>
      </c>
      <c r="Z49" s="555">
        <f>Z8</f>
        <v>36733463198.155106</v>
      </c>
      <c r="AA49" s="555">
        <f t="shared" si="6"/>
        <v>79387148373.04216</v>
      </c>
      <c r="AB49" s="555">
        <f>AB8</f>
        <v>112874664348.83572</v>
      </c>
      <c r="AC49" s="555">
        <f t="shared" si="6"/>
        <v>104169281348.2213</v>
      </c>
      <c r="AD49" s="555">
        <f>AD8</f>
        <v>160708467718.15707</v>
      </c>
      <c r="AE49" s="555">
        <f>AE8+AE22+AE27+AE33+AE37</f>
        <v>243172093218.97336</v>
      </c>
      <c r="AF49" s="555">
        <f>AF8</f>
        <v>168842904787.39758</v>
      </c>
      <c r="AG49" s="555">
        <f t="shared" ref="AG49:AO49" si="7">AG8+AG22+AG27+AG33+AG37</f>
        <v>242287902489.57602</v>
      </c>
      <c r="AH49" s="555">
        <f>AH8</f>
        <v>187062335907.54126</v>
      </c>
      <c r="AI49" s="555">
        <f t="shared" si="7"/>
        <v>248023058998.28134</v>
      </c>
      <c r="AJ49" s="555">
        <f>AJ8</f>
        <v>217156200018.31482</v>
      </c>
      <c r="AK49" s="555">
        <f t="shared" si="7"/>
        <v>77802593745.000015</v>
      </c>
      <c r="AL49" s="555">
        <f>AL8</f>
        <v>146731331018.91464</v>
      </c>
      <c r="AM49" s="555">
        <f t="shared" si="7"/>
        <v>218400705300.00006</v>
      </c>
      <c r="AN49" s="555">
        <f>AN8</f>
        <v>178424011272.57361</v>
      </c>
      <c r="AO49" s="555">
        <f t="shared" si="7"/>
        <v>380587026067.5</v>
      </c>
      <c r="AP49" s="555">
        <f>AP8</f>
        <v>96059950251.125092</v>
      </c>
    </row>
  </sheetData>
  <mergeCells count="64">
    <mergeCell ref="W5:AP5"/>
    <mergeCell ref="W6:X6"/>
    <mergeCell ref="Y6:Z6"/>
    <mergeCell ref="AA6:AB6"/>
    <mergeCell ref="AC6:AD6"/>
    <mergeCell ref="AE6:AF6"/>
    <mergeCell ref="AG6:AH6"/>
    <mergeCell ref="AI6:AJ6"/>
    <mergeCell ref="AK6:AL6"/>
    <mergeCell ref="AM6:AN6"/>
    <mergeCell ref="AO6:AP6"/>
    <mergeCell ref="L5:U5"/>
    <mergeCell ref="L6:L7"/>
    <mergeCell ref="M6:M7"/>
    <mergeCell ref="N6:N7"/>
    <mergeCell ref="O6:O7"/>
    <mergeCell ref="U6:U7"/>
    <mergeCell ref="P6:P7"/>
    <mergeCell ref="Q6:Q7"/>
    <mergeCell ref="R6:R7"/>
    <mergeCell ref="S6:S7"/>
    <mergeCell ref="T6:T7"/>
    <mergeCell ref="A48:K48"/>
    <mergeCell ref="A42:K42"/>
    <mergeCell ref="A43:K43"/>
    <mergeCell ref="A44:K44"/>
    <mergeCell ref="A45:K45"/>
    <mergeCell ref="A46:K46"/>
    <mergeCell ref="A47:K47"/>
    <mergeCell ref="A30:K30"/>
    <mergeCell ref="A22:K22"/>
    <mergeCell ref="A27:K27"/>
    <mergeCell ref="A33:K33"/>
    <mergeCell ref="A37:K37"/>
    <mergeCell ref="A23:K23"/>
    <mergeCell ref="A31:K31"/>
    <mergeCell ref="A24:K24"/>
    <mergeCell ref="A25:K25"/>
    <mergeCell ref="A26:K26"/>
    <mergeCell ref="A28:K28"/>
    <mergeCell ref="A29:K29"/>
    <mergeCell ref="A38:K38"/>
    <mergeCell ref="A39:K39"/>
    <mergeCell ref="A40:K40"/>
    <mergeCell ref="A41:K41"/>
    <mergeCell ref="A32:K32"/>
    <mergeCell ref="A34:K34"/>
    <mergeCell ref="A35:K35"/>
    <mergeCell ref="A36:K36"/>
    <mergeCell ref="A16:A17"/>
    <mergeCell ref="A18:A19"/>
    <mergeCell ref="E5:K5"/>
    <mergeCell ref="I6:I7"/>
    <mergeCell ref="J6:J7"/>
    <mergeCell ref="K6:K7"/>
    <mergeCell ref="A9:A14"/>
    <mergeCell ref="A6:A7"/>
    <mergeCell ref="D6:D7"/>
    <mergeCell ref="E6:E7"/>
    <mergeCell ref="F6:F7"/>
    <mergeCell ref="G6:G7"/>
    <mergeCell ref="B6:B7"/>
    <mergeCell ref="C6:C7"/>
    <mergeCell ref="H6:H7"/>
  </mergeCells>
  <phoneticPr fontId="2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2CA9D-75B8-934D-83CF-AB4ABD7D23DC}">
  <dimension ref="C4:J23"/>
  <sheetViews>
    <sheetView tabSelected="1" zoomScale="246" workbookViewId="0">
      <selection activeCell="G14" sqref="G14"/>
    </sheetView>
  </sheetViews>
  <sheetFormatPr baseColWidth="10" defaultRowHeight="16"/>
  <cols>
    <col min="2" max="2" width="10.83203125" customWidth="1"/>
    <col min="3" max="3" width="19.5" customWidth="1"/>
    <col min="4" max="4" width="17.33203125" bestFit="1" customWidth="1"/>
    <col min="5" max="5" width="17" customWidth="1"/>
    <col min="6" max="6" width="19.6640625" customWidth="1"/>
    <col min="7" max="7" width="19.83203125" customWidth="1"/>
    <col min="8" max="8" width="15.6640625" bestFit="1" customWidth="1"/>
    <col min="10" max="10" width="19.6640625" customWidth="1"/>
  </cols>
  <sheetData>
    <row r="4" spans="3:10">
      <c r="C4" s="559" t="s">
        <v>267</v>
      </c>
      <c r="D4" s="289" t="s">
        <v>266</v>
      </c>
      <c r="E4" s="289" t="s">
        <v>268</v>
      </c>
      <c r="F4" s="289" t="s">
        <v>269</v>
      </c>
      <c r="I4" s="556" t="s">
        <v>275</v>
      </c>
      <c r="J4" s="556" t="s">
        <v>276</v>
      </c>
    </row>
    <row r="5" spans="3:10">
      <c r="C5" s="305" t="s">
        <v>277</v>
      </c>
      <c r="D5" s="278"/>
      <c r="E5" s="278"/>
      <c r="F5" s="558">
        <f>-D20</f>
        <v>-120916550100</v>
      </c>
      <c r="G5" s="548"/>
      <c r="H5" s="548"/>
      <c r="I5" s="557">
        <v>0.02</v>
      </c>
      <c r="J5" s="548">
        <f t="shared" ref="J5:J19" si="0">NPV(I5,$F$6:$F$16)+$F$5</f>
        <v>353963147286.14886</v>
      </c>
    </row>
    <row r="6" spans="3:10">
      <c r="C6" s="305" t="s">
        <v>256</v>
      </c>
      <c r="D6" s="558">
        <v>6592944216.1827583</v>
      </c>
      <c r="E6" s="558">
        <v>18394881973.585304</v>
      </c>
      <c r="F6" s="558">
        <f>D6-E6</f>
        <v>-11801937757.402546</v>
      </c>
      <c r="G6" s="548"/>
      <c r="H6" s="548"/>
      <c r="I6" s="557">
        <v>0.04</v>
      </c>
      <c r="J6" s="548">
        <f t="shared" si="0"/>
        <v>261798635263.48444</v>
      </c>
    </row>
    <row r="7" spans="3:10">
      <c r="C7" s="305" t="s">
        <v>257</v>
      </c>
      <c r="D7" s="558">
        <v>17645553201.298271</v>
      </c>
      <c r="E7" s="558">
        <v>36733463198.155106</v>
      </c>
      <c r="F7" s="558">
        <f t="shared" ref="F7:G16" si="1">D7-E7</f>
        <v>-19087909996.856834</v>
      </c>
      <c r="G7" s="548"/>
      <c r="H7" s="548"/>
      <c r="I7" s="557">
        <v>0.06</v>
      </c>
      <c r="J7" s="548">
        <f t="shared" si="0"/>
        <v>187801790050.26611</v>
      </c>
    </row>
    <row r="8" spans="3:10">
      <c r="C8" s="305" t="s">
        <v>258</v>
      </c>
      <c r="D8" s="558">
        <v>79387148373.04216</v>
      </c>
      <c r="E8" s="558">
        <v>112874664348.83572</v>
      </c>
      <c r="F8" s="558">
        <f t="shared" si="1"/>
        <v>-33487515975.793564</v>
      </c>
      <c r="G8" s="548"/>
      <c r="H8" s="548"/>
      <c r="I8" s="557">
        <v>0.08</v>
      </c>
      <c r="J8" s="548">
        <f t="shared" si="0"/>
        <v>128152783063.60901</v>
      </c>
    </row>
    <row r="9" spans="3:10">
      <c r="C9" s="305" t="s">
        <v>259</v>
      </c>
      <c r="D9" s="558">
        <v>104169281348.2213</v>
      </c>
      <c r="E9" s="558">
        <v>160708467718.15707</v>
      </c>
      <c r="F9" s="558">
        <f t="shared" si="1"/>
        <v>-56539186369.935776</v>
      </c>
      <c r="G9" s="548"/>
      <c r="H9" s="548"/>
      <c r="I9" s="557">
        <v>0.1</v>
      </c>
      <c r="J9" s="548">
        <f t="shared" si="0"/>
        <v>79887676294.345062</v>
      </c>
    </row>
    <row r="10" spans="3:10">
      <c r="C10" s="305" t="s">
        <v>260</v>
      </c>
      <c r="D10" s="558">
        <v>243172093218.97336</v>
      </c>
      <c r="E10" s="558">
        <v>168842904787.39758</v>
      </c>
      <c r="F10" s="558">
        <f t="shared" si="1"/>
        <v>74329188431.575775</v>
      </c>
      <c r="G10" s="548"/>
      <c r="H10" s="548"/>
      <c r="I10" s="557">
        <v>0.12</v>
      </c>
      <c r="J10" s="548">
        <f t="shared" si="0"/>
        <v>40695196575.057953</v>
      </c>
    </row>
    <row r="11" spans="3:10">
      <c r="C11" s="305" t="s">
        <v>261</v>
      </c>
      <c r="D11" s="558">
        <v>242287902489.57602</v>
      </c>
      <c r="E11" s="558">
        <v>187062335907.54126</v>
      </c>
      <c r="F11" s="558">
        <f t="shared" si="1"/>
        <v>55225566582.03476</v>
      </c>
      <c r="G11" s="548"/>
      <c r="H11" s="548"/>
      <c r="I11" s="557">
        <v>0.14000000000000001</v>
      </c>
      <c r="J11" s="548">
        <f t="shared" si="0"/>
        <v>8764368486.0539398</v>
      </c>
    </row>
    <row r="12" spans="3:10">
      <c r="C12" s="305" t="s">
        <v>262</v>
      </c>
      <c r="D12" s="558">
        <v>248023058998.28134</v>
      </c>
      <c r="E12" s="558">
        <v>217156200018.31482</v>
      </c>
      <c r="F12" s="558">
        <f t="shared" si="1"/>
        <v>30866858979.966522</v>
      </c>
      <c r="G12" s="548"/>
      <c r="H12" s="548"/>
      <c r="I12" s="557">
        <v>0.16308951303137581</v>
      </c>
      <c r="J12" s="548">
        <f t="shared" si="0"/>
        <v>-20916550100.000122</v>
      </c>
    </row>
    <row r="13" spans="3:10">
      <c r="C13" s="305" t="s">
        <v>263</v>
      </c>
      <c r="D13" s="558">
        <v>77802593745.000015</v>
      </c>
      <c r="E13" s="558">
        <v>146731331018.91464</v>
      </c>
      <c r="F13" s="558">
        <f t="shared" si="1"/>
        <v>-68928737273.914627</v>
      </c>
      <c r="G13" s="548"/>
      <c r="H13" s="548"/>
      <c r="I13" s="557">
        <v>0.18</v>
      </c>
      <c r="J13" s="548">
        <f t="shared" si="0"/>
        <v>-38716093169.308319</v>
      </c>
    </row>
    <row r="14" spans="3:10">
      <c r="C14" s="305" t="s">
        <v>264</v>
      </c>
      <c r="D14" s="558">
        <v>218400705300.00006</v>
      </c>
      <c r="E14" s="558">
        <v>178424011272.57361</v>
      </c>
      <c r="F14" s="558">
        <f t="shared" si="1"/>
        <v>39976694027.426453</v>
      </c>
      <c r="G14" s="548"/>
      <c r="H14" s="548"/>
      <c r="I14" s="557">
        <v>0.2</v>
      </c>
      <c r="J14" s="548">
        <f t="shared" si="0"/>
        <v>-56287922918.14328</v>
      </c>
    </row>
    <row r="15" spans="3:10">
      <c r="C15" s="305" t="s">
        <v>265</v>
      </c>
      <c r="D15" s="558">
        <v>380587026067.5</v>
      </c>
      <c r="E15" s="558">
        <v>96059950251.125092</v>
      </c>
      <c r="F15" s="558">
        <f t="shared" si="1"/>
        <v>284527075816.37488</v>
      </c>
      <c r="G15" s="548"/>
      <c r="H15" s="548"/>
      <c r="I15" s="557">
        <v>0.22</v>
      </c>
      <c r="J15" s="548">
        <f t="shared" si="0"/>
        <v>-70759540060.392441</v>
      </c>
    </row>
    <row r="16" spans="3:10">
      <c r="C16" s="278"/>
      <c r="D16" s="558">
        <f>SUM(D6:D15)</f>
        <v>1618068306958.0754</v>
      </c>
      <c r="E16" s="558">
        <f>SUM(E6:E15)</f>
        <v>1322988210494.6001</v>
      </c>
      <c r="F16" s="558">
        <f t="shared" si="1"/>
        <v>295080096463.47534</v>
      </c>
      <c r="G16" s="548"/>
      <c r="H16" s="548"/>
      <c r="I16" s="557">
        <v>0.24</v>
      </c>
      <c r="J16" s="548">
        <f t="shared" si="0"/>
        <v>-82702330555.98822</v>
      </c>
    </row>
    <row r="17" spans="3:10">
      <c r="C17" s="278"/>
      <c r="D17" s="278"/>
      <c r="E17" s="278"/>
      <c r="F17" s="278"/>
      <c r="I17" s="557">
        <v>0.26</v>
      </c>
      <c r="J17" s="548">
        <f t="shared" si="0"/>
        <v>-92575515473.868073</v>
      </c>
    </row>
    <row r="18" spans="3:10" ht="16" customHeight="1">
      <c r="C18" s="560" t="s">
        <v>270</v>
      </c>
      <c r="D18" s="561">
        <v>10</v>
      </c>
      <c r="E18" s="308" t="s">
        <v>272</v>
      </c>
      <c r="F18" s="562">
        <f>NPV(D19,F6:F16)</f>
        <v>200804226394.34506</v>
      </c>
      <c r="I18" s="557">
        <v>0.28000000000000003</v>
      </c>
      <c r="J18" s="548">
        <f t="shared" si="0"/>
        <v>-100749551715.42433</v>
      </c>
    </row>
    <row r="19" spans="3:10" ht="16" customHeight="1">
      <c r="C19" s="560" t="s">
        <v>271</v>
      </c>
      <c r="D19" s="563">
        <v>0.1</v>
      </c>
      <c r="E19" s="308" t="s">
        <v>273</v>
      </c>
      <c r="F19" s="564">
        <f>F18+F5</f>
        <v>79887676294.345062</v>
      </c>
      <c r="I19" s="557">
        <v>0.3</v>
      </c>
      <c r="J19" s="548">
        <f t="shared" si="0"/>
        <v>-107524370546.52788</v>
      </c>
    </row>
    <row r="20" spans="3:10" ht="16" customHeight="1">
      <c r="C20" s="560" t="s">
        <v>267</v>
      </c>
      <c r="D20" s="308">
        <v>120916550100</v>
      </c>
      <c r="E20" s="565" t="s">
        <v>274</v>
      </c>
      <c r="F20" s="566">
        <f>IRR(F5:F16)</f>
        <v>0.14628036055931237</v>
      </c>
      <c r="I20" t="s">
        <v>274</v>
      </c>
      <c r="J20" s="557">
        <f>IRR(F5:F16)</f>
        <v>0.14628036055931237</v>
      </c>
    </row>
    <row r="21" spans="3:10" ht="16" customHeight="1"/>
    <row r="22" spans="3:10" ht="16" customHeight="1"/>
    <row r="23" spans="3:10" ht="16" customHeight="1"/>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Cuadro General</vt:lpstr>
      <vt:lpstr>Reparto C&amp;B</vt:lpstr>
      <vt:lpstr>Programa</vt:lpstr>
      <vt:lpstr>TIR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spinerosb@gmail.com</cp:lastModifiedBy>
  <dcterms:created xsi:type="dcterms:W3CDTF">2022-05-31T01:18:20Z</dcterms:created>
  <dcterms:modified xsi:type="dcterms:W3CDTF">2022-08-22T04:26:24Z</dcterms:modified>
</cp:coreProperties>
</file>