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soph\Desktop\UR_Derecho-Urb\17_Proyecto_Grado\20220927_Version-CRAI\"/>
    </mc:Choice>
  </mc:AlternateContent>
  <xr:revisionPtr revIDLastSave="0" documentId="13_ncr:1_{137F3AB0-FA95-4B8C-B2F0-5B1035C87AB2}" xr6:coauthVersionLast="47" xr6:coauthVersionMax="47" xr10:uidLastSave="{00000000-0000-0000-0000-000000000000}"/>
  <workbookProtection workbookAlgorithmName="SHA-512" workbookHashValue="M71pnBDmCVhhg3Ou5UxK2OZDTH8kj042VVc80be2X3NneYG8eSBXuH6wHOqpYH8tYNAv8fD0hmXzKyAl+bZPww==" workbookSaltValue="T0+gA9s0DByLwKkCAGZcGw==" workbookSpinCount="100000" lockStructure="1"/>
  <bookViews>
    <workbookView xWindow="7800" yWindow="0" windowWidth="11400" windowHeight="10080" tabRatio="776" firstSheet="5" activeTab="6" xr2:uid="{45DBFC4D-9928-4CD1-8CF1-F355F9F60D95}"/>
  </bookViews>
  <sheets>
    <sheet name="PP" sheetId="30" state="hidden" r:id="rId1"/>
    <sheet name="Usos" sheetId="23" state="hidden" r:id="rId2"/>
    <sheet name="Pasivos Ambientales" sheetId="10" state="hidden" r:id="rId3"/>
    <sheet name="Politica Moradores" sheetId="28" state="hidden" r:id="rId4"/>
    <sheet name="Conclusiones" sheetId="29" state="hidden" r:id="rId5"/>
    <sheet name="CONTENIDO" sheetId="34" r:id="rId6"/>
    <sheet name="Configuración predial actual" sheetId="9" r:id="rId7"/>
    <sheet name="Situación jurídica predios" sheetId="4" r:id="rId8"/>
    <sheet name="Cuadro Áreas" sheetId="20" r:id="rId9"/>
    <sheet name="Reparto Cargas" sheetId="33" r:id="rId10"/>
  </sheets>
  <definedNames>
    <definedName name="_xlnm._FilterDatabase" localSheetId="6" hidden="1">'Configuración predial actual'!$A$5:$P$5</definedName>
    <definedName name="_xlnm._FilterDatabase" localSheetId="3" hidden="1">'Politica Moradores'!$A$2:$H$2</definedName>
    <definedName name="_xlnm._FilterDatabase" localSheetId="7" hidden="1">'Situación jurídica predios'!$A$3:$I$3</definedName>
    <definedName name="_xlnm._FilterDatabase" localSheetId="1" hidden="1">Usos!$A$1:$E$49</definedName>
    <definedName name="_xlnm.Print_Area" localSheetId="4">Conclusiones!#REF!</definedName>
    <definedName name="_xlnm.Print_Area" localSheetId="6">'Configuración predial actual'!$B$1:$N$29</definedName>
    <definedName name="_xlnm.Print_Area" localSheetId="8">'Cuadro Áreas'!$B$147:$J$155</definedName>
    <definedName name="_xlnm.Print_Area" localSheetId="2">'Pasivos Ambientales'!$B$2:$K$7</definedName>
    <definedName name="_xlnm.Print_Area" localSheetId="3">'Politica Moradores'!$I$36:$AA$69</definedName>
    <definedName name="_xlnm.Print_Area" localSheetId="0">PP!$B$2:$L$10</definedName>
    <definedName name="_xlnm.Print_Area" localSheetId="9">'Reparto Cargas'!$B$157:$I$177</definedName>
    <definedName name="_xlnm.Print_Area" localSheetId="7">'Situación jurídica predios'!$J$26:$K$28</definedName>
    <definedName name="_xlnm.Print_Area" localSheetId="1">Usos!$A$1:$E$49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04" i="20" l="1"/>
  <c r="J89" i="33"/>
  <c r="J88" i="33"/>
  <c r="E8" i="29"/>
  <c r="E7" i="29"/>
  <c r="D7" i="29"/>
  <c r="E6" i="29"/>
  <c r="E5" i="29"/>
  <c r="E16" i="29"/>
  <c r="E14" i="29"/>
  <c r="E13" i="29"/>
  <c r="E12" i="29"/>
  <c r="E11" i="29"/>
  <c r="E10" i="29"/>
  <c r="D4" i="29"/>
  <c r="D3" i="29"/>
  <c r="E3" i="29"/>
  <c r="J29" i="9"/>
  <c r="I29" i="9"/>
  <c r="M17" i="9"/>
  <c r="L72" i="28"/>
  <c r="N77" i="28"/>
  <c r="N79" i="28"/>
  <c r="M77" i="28"/>
  <c r="M76" i="28"/>
  <c r="M75" i="28"/>
  <c r="M74" i="28"/>
  <c r="V40" i="28"/>
  <c r="V39" i="28"/>
  <c r="V38" i="28"/>
  <c r="C4" i="10"/>
  <c r="C5" i="10"/>
  <c r="C6" i="10"/>
  <c r="E61" i="20"/>
  <c r="E38" i="20"/>
  <c r="E37" i="20"/>
  <c r="E36" i="20"/>
  <c r="E41" i="20"/>
  <c r="C40" i="20"/>
  <c r="D40" i="20"/>
  <c r="E40" i="20"/>
  <c r="I151" i="20"/>
  <c r="I150" i="20"/>
  <c r="E103" i="20"/>
  <c r="B50" i="33"/>
  <c r="B83" i="33"/>
  <c r="B84" i="33"/>
  <c r="B85" i="33"/>
  <c r="G87" i="33"/>
  <c r="J93" i="33"/>
  <c r="E111" i="33"/>
  <c r="F112" i="33"/>
  <c r="G122" i="33" s="1"/>
  <c r="F121" i="33"/>
  <c r="E123" i="33"/>
  <c r="B138" i="33"/>
  <c r="F138" i="33"/>
  <c r="G138" i="33"/>
  <c r="E154" i="33"/>
  <c r="E74" i="33"/>
  <c r="F134" i="33" s="1"/>
  <c r="F75" i="33"/>
  <c r="G135" i="33" s="1"/>
  <c r="B63" i="33"/>
  <c r="B64" i="33"/>
  <c r="B65" i="33"/>
  <c r="B66" i="33"/>
  <c r="B135" i="33" s="1"/>
  <c r="B67" i="33"/>
  <c r="B68" i="33"/>
  <c r="E55" i="33"/>
  <c r="J55" i="33"/>
  <c r="E56" i="33"/>
  <c r="F56" i="33"/>
  <c r="J56" i="33"/>
  <c r="B44" i="33"/>
  <c r="G44" i="33"/>
  <c r="B45" i="33"/>
  <c r="F45" i="33"/>
  <c r="B46" i="33"/>
  <c r="B48" i="33"/>
  <c r="B49" i="33"/>
  <c r="F50" i="33"/>
  <c r="D9" i="33"/>
  <c r="D10" i="33"/>
  <c r="F10" i="33"/>
  <c r="D11" i="33"/>
  <c r="D12" i="33"/>
  <c r="D13" i="33"/>
  <c r="D14" i="33"/>
  <c r="D15" i="33"/>
  <c r="D16" i="33"/>
  <c r="D17" i="33"/>
  <c r="D18" i="33"/>
  <c r="F18" i="33"/>
  <c r="D19" i="33"/>
  <c r="D21" i="33"/>
  <c r="D22" i="33"/>
  <c r="D23" i="33"/>
  <c r="D24" i="33"/>
  <c r="D25" i="33"/>
  <c r="D26" i="33"/>
  <c r="F26" i="33"/>
  <c r="D27" i="33"/>
  <c r="D28" i="33"/>
  <c r="D29" i="33"/>
  <c r="D30" i="33"/>
  <c r="D31" i="33"/>
  <c r="X44" i="28"/>
  <c r="J68" i="28"/>
  <c r="J67" i="28"/>
  <c r="J66" i="28"/>
  <c r="J65" i="28"/>
  <c r="J64" i="28"/>
  <c r="J63" i="28"/>
  <c r="J60" i="28"/>
  <c r="J59" i="28"/>
  <c r="J58" i="28"/>
  <c r="J57" i="28"/>
  <c r="J56" i="28"/>
  <c r="J55" i="28"/>
  <c r="J54" i="28"/>
  <c r="J49" i="28"/>
  <c r="J48" i="28"/>
  <c r="J47" i="28"/>
  <c r="J46" i="28"/>
  <c r="J45" i="28"/>
  <c r="J40" i="28"/>
  <c r="J39" i="28"/>
  <c r="J38" i="28"/>
  <c r="D108" i="20"/>
  <c r="G95" i="33" s="1"/>
  <c r="F31" i="20"/>
  <c r="B5" i="10"/>
  <c r="D6" i="10"/>
  <c r="D5" i="10"/>
  <c r="D4" i="10"/>
  <c r="U65" i="28"/>
  <c r="U64" i="28"/>
  <c r="U63" i="28"/>
  <c r="U62" i="28"/>
  <c r="L68" i="28"/>
  <c r="O68" i="28" s="1"/>
  <c r="P68" i="28" s="1"/>
  <c r="L67" i="28"/>
  <c r="O67" i="28" s="1"/>
  <c r="P67" i="28" s="1"/>
  <c r="L66" i="28"/>
  <c r="O66" i="28" s="1"/>
  <c r="P66" i="28" s="1"/>
  <c r="L65" i="28"/>
  <c r="O65" i="28" s="1"/>
  <c r="P65" i="28" s="1"/>
  <c r="L64" i="28"/>
  <c r="O64" i="28" s="1"/>
  <c r="P64" i="28" s="1"/>
  <c r="L63" i="28"/>
  <c r="O63" i="28" s="1"/>
  <c r="P63" i="28" s="1"/>
  <c r="L60" i="28"/>
  <c r="O60" i="28" s="1"/>
  <c r="P60" i="28" s="1"/>
  <c r="L59" i="28"/>
  <c r="O59" i="28" s="1"/>
  <c r="P59" i="28" s="1"/>
  <c r="L58" i="28"/>
  <c r="O58" i="28" s="1"/>
  <c r="P58" i="28" s="1"/>
  <c r="L57" i="28"/>
  <c r="O57" i="28" s="1"/>
  <c r="P57" i="28" s="1"/>
  <c r="L56" i="28"/>
  <c r="O56" i="28" s="1"/>
  <c r="L55" i="28"/>
  <c r="O55" i="28" s="1"/>
  <c r="P55" i="28" s="1"/>
  <c r="L54" i="28"/>
  <c r="O54" i="28" s="1"/>
  <c r="K68" i="28"/>
  <c r="K67" i="28"/>
  <c r="K66" i="28"/>
  <c r="K64" i="28"/>
  <c r="K65" i="28"/>
  <c r="K63" i="28"/>
  <c r="K60" i="28"/>
  <c r="K59" i="28"/>
  <c r="K58" i="28"/>
  <c r="K57" i="28"/>
  <c r="K56" i="28"/>
  <c r="K55" i="28"/>
  <c r="K54" i="28"/>
  <c r="M49" i="28"/>
  <c r="O49" i="28" s="1"/>
  <c r="P49" i="28" s="1"/>
  <c r="M48" i="28"/>
  <c r="O48" i="28" s="1"/>
  <c r="P48" i="28" s="1"/>
  <c r="M47" i="28"/>
  <c r="O47" i="28" s="1"/>
  <c r="P47" i="28" s="1"/>
  <c r="M46" i="28"/>
  <c r="O46" i="28" s="1"/>
  <c r="P46" i="28" s="1"/>
  <c r="M45" i="28"/>
  <c r="O45" i="28" s="1"/>
  <c r="P45" i="28" s="1"/>
  <c r="L49" i="28"/>
  <c r="L48" i="28"/>
  <c r="L47" i="28"/>
  <c r="L46" i="28"/>
  <c r="L45" i="28"/>
  <c r="K49" i="28"/>
  <c r="K48" i="28"/>
  <c r="K47" i="28"/>
  <c r="K46" i="28"/>
  <c r="K45" i="28"/>
  <c r="K40" i="28"/>
  <c r="K39" i="28"/>
  <c r="K38" i="28"/>
  <c r="M40" i="28"/>
  <c r="X40" i="28" s="1"/>
  <c r="M39" i="28"/>
  <c r="X39" i="28" s="1"/>
  <c r="M38" i="28"/>
  <c r="X38" i="28" s="1"/>
  <c r="L39" i="28"/>
  <c r="W39" i="28" s="1"/>
  <c r="L40" i="28"/>
  <c r="W40" i="28" s="1"/>
  <c r="L38" i="28"/>
  <c r="W38" i="28" s="1"/>
  <c r="Q39" i="28"/>
  <c r="I153" i="20"/>
  <c r="I152" i="20"/>
  <c r="J152" i="20"/>
  <c r="J154" i="20"/>
  <c r="J153" i="20"/>
  <c r="J150" i="20"/>
  <c r="J151" i="20"/>
  <c r="L27" i="9"/>
  <c r="F30" i="33" s="1"/>
  <c r="E11" i="20"/>
  <c r="I155" i="20"/>
  <c r="C100" i="20"/>
  <c r="K104" i="20"/>
  <c r="J104" i="20"/>
  <c r="L104" i="20" s="1"/>
  <c r="H102" i="20"/>
  <c r="H131" i="20" s="1"/>
  <c r="F114" i="33" s="1"/>
  <c r="G124" i="33" s="1"/>
  <c r="H101" i="20"/>
  <c r="H130" i="20" s="1"/>
  <c r="F113" i="33" s="1"/>
  <c r="H99" i="20"/>
  <c r="G102" i="20"/>
  <c r="G131" i="20" s="1"/>
  <c r="E114" i="33" s="1"/>
  <c r="G101" i="20"/>
  <c r="G130" i="20" s="1"/>
  <c r="E113" i="33" s="1"/>
  <c r="G100" i="20"/>
  <c r="J155" i="20"/>
  <c r="C101" i="20"/>
  <c r="H152" i="20"/>
  <c r="D101" i="20"/>
  <c r="D130" i="20" s="1"/>
  <c r="F76" i="33" s="1"/>
  <c r="G136" i="33" s="1"/>
  <c r="H128" i="20"/>
  <c r="F111" i="33" s="1"/>
  <c r="D99" i="20"/>
  <c r="D154" i="20" s="1"/>
  <c r="J100" i="20"/>
  <c r="D102" i="20"/>
  <c r="C102" i="20"/>
  <c r="E94" i="20"/>
  <c r="H93" i="20"/>
  <c r="G93" i="20"/>
  <c r="E79" i="20"/>
  <c r="D92" i="20"/>
  <c r="D93" i="20" s="1"/>
  <c r="C92" i="20"/>
  <c r="C93" i="20" s="1"/>
  <c r="H87" i="20"/>
  <c r="G87" i="20"/>
  <c r="G86" i="20"/>
  <c r="D86" i="20"/>
  <c r="D87" i="20" s="1"/>
  <c r="C86" i="20"/>
  <c r="D85" i="20"/>
  <c r="D131" i="20" s="1"/>
  <c r="F77" i="33" s="1"/>
  <c r="C85" i="20"/>
  <c r="C83" i="20"/>
  <c r="C84" i="20"/>
  <c r="D82" i="20"/>
  <c r="H80" i="20"/>
  <c r="K80" i="20" s="1"/>
  <c r="G80" i="20"/>
  <c r="D60" i="20"/>
  <c r="E60" i="20" s="1"/>
  <c r="G84" i="33" s="1"/>
  <c r="I84" i="33" s="1"/>
  <c r="J84" i="33" s="1"/>
  <c r="E12" i="20"/>
  <c r="F12" i="20" s="1"/>
  <c r="E39" i="20"/>
  <c r="F28" i="9"/>
  <c r="D10" i="20" s="1"/>
  <c r="F17" i="9"/>
  <c r="C10" i="20" s="1"/>
  <c r="C38" i="20"/>
  <c r="D37" i="20"/>
  <c r="D35" i="20" s="1"/>
  <c r="C37" i="20"/>
  <c r="E31" i="20"/>
  <c r="E32" i="20" s="1"/>
  <c r="F44" i="33" s="1"/>
  <c r="D59" i="20"/>
  <c r="F6" i="10"/>
  <c r="F5" i="10"/>
  <c r="I94" i="33" s="1"/>
  <c r="F4" i="10"/>
  <c r="H94" i="33" s="1"/>
  <c r="E6" i="10"/>
  <c r="E5" i="10"/>
  <c r="E4" i="10"/>
  <c r="B4" i="10"/>
  <c r="K28" i="9"/>
  <c r="L26" i="9"/>
  <c r="F29" i="33" s="1"/>
  <c r="L25" i="9"/>
  <c r="F28" i="33" s="1"/>
  <c r="L24" i="9"/>
  <c r="F27" i="33" s="1"/>
  <c r="L23" i="9"/>
  <c r="L22" i="9"/>
  <c r="F25" i="33" s="1"/>
  <c r="L21" i="9"/>
  <c r="F24" i="33" s="1"/>
  <c r="L20" i="9"/>
  <c r="F23" i="33" s="1"/>
  <c r="L19" i="9"/>
  <c r="F22" i="33" s="1"/>
  <c r="L18" i="9"/>
  <c r="F21" i="33" s="1"/>
  <c r="K17" i="9"/>
  <c r="L16" i="9"/>
  <c r="F19" i="33" s="1"/>
  <c r="L15" i="9"/>
  <c r="L14" i="9"/>
  <c r="F17" i="33" s="1"/>
  <c r="L13" i="9"/>
  <c r="F16" i="33" s="1"/>
  <c r="L12" i="9"/>
  <c r="F15" i="33" s="1"/>
  <c r="L11" i="9"/>
  <c r="F14" i="33" s="1"/>
  <c r="L10" i="9"/>
  <c r="F13" i="33" s="1"/>
  <c r="L9" i="9"/>
  <c r="F12" i="33" s="1"/>
  <c r="L8" i="9"/>
  <c r="F11" i="33" s="1"/>
  <c r="L7" i="9"/>
  <c r="L6" i="9"/>
  <c r="F9" i="33" s="1"/>
  <c r="H14" i="33" l="1"/>
  <c r="H26" i="33"/>
  <c r="G113" i="33"/>
  <c r="I55" i="33"/>
  <c r="E57" i="33"/>
  <c r="D55" i="33" s="1"/>
  <c r="H138" i="33"/>
  <c r="H28" i="33"/>
  <c r="P50" i="28"/>
  <c r="H16" i="33"/>
  <c r="H25" i="33"/>
  <c r="H12" i="33"/>
  <c r="H13" i="33"/>
  <c r="F31" i="33"/>
  <c r="H21" i="33"/>
  <c r="H29" i="33"/>
  <c r="H23" i="33"/>
  <c r="D20" i="33"/>
  <c r="B103" i="33"/>
  <c r="B119" i="33"/>
  <c r="B72" i="33"/>
  <c r="B109" i="33"/>
  <c r="B132" i="33"/>
  <c r="V48" i="28"/>
  <c r="E104" i="33" s="1"/>
  <c r="H19" i="33"/>
  <c r="H11" i="33"/>
  <c r="H9" i="33"/>
  <c r="H17" i="33"/>
  <c r="W44" i="28"/>
  <c r="W48" i="28"/>
  <c r="F104" i="33" s="1"/>
  <c r="H27" i="33"/>
  <c r="H24" i="33"/>
  <c r="B76" i="33"/>
  <c r="B136" i="33"/>
  <c r="B123" i="33"/>
  <c r="B113" i="33"/>
  <c r="B122" i="33"/>
  <c r="B112" i="33"/>
  <c r="B75" i="33"/>
  <c r="P69" i="28"/>
  <c r="F124" i="33"/>
  <c r="H124" i="33" s="1"/>
  <c r="G114" i="33"/>
  <c r="O50" i="28"/>
  <c r="H18" i="33"/>
  <c r="H10" i="33"/>
  <c r="H22" i="33"/>
  <c r="H30" i="33"/>
  <c r="V47" i="28"/>
  <c r="E103" i="33" s="1"/>
  <c r="E109" i="33" s="1"/>
  <c r="P54" i="28"/>
  <c r="I56" i="33"/>
  <c r="B134" i="33"/>
  <c r="B74" i="33"/>
  <c r="B121" i="33"/>
  <c r="B111" i="33"/>
  <c r="G123" i="33"/>
  <c r="F123" i="33"/>
  <c r="G137" i="33"/>
  <c r="G111" i="33"/>
  <c r="G121" i="33"/>
  <c r="H15" i="33"/>
  <c r="J94" i="33"/>
  <c r="B110" i="33"/>
  <c r="B133" i="33"/>
  <c r="B104" i="33"/>
  <c r="B73" i="33"/>
  <c r="B120" i="33"/>
  <c r="I90" i="33"/>
  <c r="P56" i="28"/>
  <c r="W47" i="28"/>
  <c r="F103" i="33" s="1"/>
  <c r="F109" i="33" s="1"/>
  <c r="G119" i="33" s="1"/>
  <c r="F20" i="33"/>
  <c r="B137" i="33"/>
  <c r="B114" i="33"/>
  <c r="B124" i="33"/>
  <c r="B77" i="33"/>
  <c r="H121" i="33"/>
  <c r="M41" i="28"/>
  <c r="M27" i="9"/>
  <c r="M60" i="28" s="1"/>
  <c r="C131" i="20"/>
  <c r="E77" i="33" s="1"/>
  <c r="J57" i="33"/>
  <c r="X41" i="28"/>
  <c r="Q40" i="28"/>
  <c r="Q38" i="28"/>
  <c r="H90" i="33" s="1"/>
  <c r="N63" i="28"/>
  <c r="M7" i="9"/>
  <c r="N64" i="28"/>
  <c r="M8" i="9"/>
  <c r="N54" i="28"/>
  <c r="M9" i="9"/>
  <c r="P38" i="28"/>
  <c r="M10" i="9"/>
  <c r="N45" i="28"/>
  <c r="M11" i="9"/>
  <c r="N65" i="28"/>
  <c r="M12" i="9"/>
  <c r="N46" i="28"/>
  <c r="N55" i="28"/>
  <c r="M14" i="9"/>
  <c r="N68" i="28"/>
  <c r="M15" i="9"/>
  <c r="N66" i="28"/>
  <c r="M16" i="9"/>
  <c r="N67" i="28"/>
  <c r="N56" i="28"/>
  <c r="M19" i="9"/>
  <c r="N47" i="28"/>
  <c r="P39" i="28"/>
  <c r="M21" i="9"/>
  <c r="N48" i="28"/>
  <c r="M22" i="9"/>
  <c r="P40" i="28"/>
  <c r="M23" i="9"/>
  <c r="N57" i="28"/>
  <c r="M24" i="9"/>
  <c r="N49" i="28"/>
  <c r="M25" i="9"/>
  <c r="N58" i="28"/>
  <c r="M26" i="9"/>
  <c r="N59" i="28"/>
  <c r="N60" i="28"/>
  <c r="F33" i="20"/>
  <c r="G45" i="33" s="1"/>
  <c r="F32" i="20"/>
  <c r="F11" i="20"/>
  <c r="C61" i="20"/>
  <c r="H85" i="33" s="1"/>
  <c r="C35" i="20"/>
  <c r="F55" i="33" s="1"/>
  <c r="F57" i="33" s="1"/>
  <c r="J80" i="20"/>
  <c r="L80" i="20" s="1"/>
  <c r="I80" i="20"/>
  <c r="D153" i="20"/>
  <c r="I128" i="20"/>
  <c r="M13" i="9"/>
  <c r="M20" i="9"/>
  <c r="H151" i="20"/>
  <c r="H153" i="20"/>
  <c r="H154" i="20"/>
  <c r="H155" i="20"/>
  <c r="H150" i="20"/>
  <c r="G150" i="20" s="1"/>
  <c r="L100" i="20"/>
  <c r="G92" i="20"/>
  <c r="J93" i="20"/>
  <c r="H92" i="20"/>
  <c r="I92" i="20" s="1"/>
  <c r="K93" i="20"/>
  <c r="F7" i="10"/>
  <c r="G94" i="33" s="1"/>
  <c r="K29" i="9"/>
  <c r="I130" i="20"/>
  <c r="E13" i="20"/>
  <c r="F13" i="20" s="1"/>
  <c r="C153" i="20"/>
  <c r="H127" i="20"/>
  <c r="G129" i="20"/>
  <c r="E112" i="33" s="1"/>
  <c r="K102" i="20"/>
  <c r="K99" i="20"/>
  <c r="L99" i="20" s="1"/>
  <c r="J101" i="20"/>
  <c r="D151" i="20" s="1"/>
  <c r="C129" i="20"/>
  <c r="E75" i="33" s="1"/>
  <c r="C130" i="20"/>
  <c r="E76" i="33" s="1"/>
  <c r="I131" i="20"/>
  <c r="K101" i="20"/>
  <c r="J102" i="20"/>
  <c r="G127" i="20"/>
  <c r="J87" i="20"/>
  <c r="K87" i="20"/>
  <c r="D127" i="20"/>
  <c r="F73" i="33" s="1"/>
  <c r="D61" i="20"/>
  <c r="I85" i="33" s="1"/>
  <c r="H86" i="20"/>
  <c r="I86" i="20" s="1"/>
  <c r="G126" i="20"/>
  <c r="H126" i="20"/>
  <c r="D80" i="20"/>
  <c r="D126" i="20" s="1"/>
  <c r="F72" i="33" s="1"/>
  <c r="D128" i="20"/>
  <c r="F74" i="33" s="1"/>
  <c r="F49" i="33"/>
  <c r="C59" i="20"/>
  <c r="C80" i="20"/>
  <c r="C126" i="20" s="1"/>
  <c r="E72" i="33" s="1"/>
  <c r="F132" i="33" s="1"/>
  <c r="C87" i="20"/>
  <c r="E86" i="20"/>
  <c r="E92" i="20"/>
  <c r="D41" i="20"/>
  <c r="E10" i="20"/>
  <c r="D9" i="20"/>
  <c r="C41" i="20"/>
  <c r="E97" i="20"/>
  <c r="E85" i="20"/>
  <c r="C98" i="20"/>
  <c r="D98" i="20"/>
  <c r="H98" i="20"/>
  <c r="E99" i="20"/>
  <c r="E101" i="20"/>
  <c r="I100" i="20"/>
  <c r="E100" i="20"/>
  <c r="I102" i="20"/>
  <c r="E102" i="20"/>
  <c r="F29" i="9"/>
  <c r="G17" i="9"/>
  <c r="J6" i="9"/>
  <c r="I6" i="9"/>
  <c r="L17" i="9"/>
  <c r="M6" i="9"/>
  <c r="M29" i="9" s="1"/>
  <c r="F95" i="33" s="1"/>
  <c r="J7" i="9"/>
  <c r="I7" i="9"/>
  <c r="J8" i="9"/>
  <c r="I8" i="9"/>
  <c r="J9" i="9"/>
  <c r="I9" i="9"/>
  <c r="J10" i="9"/>
  <c r="I10" i="9"/>
  <c r="J11" i="9"/>
  <c r="I11" i="9"/>
  <c r="J12" i="9"/>
  <c r="I12" i="9"/>
  <c r="J13" i="9"/>
  <c r="I13" i="9"/>
  <c r="J14" i="9"/>
  <c r="I14" i="9"/>
  <c r="J15" i="9"/>
  <c r="I15" i="9"/>
  <c r="J16" i="9"/>
  <c r="I16" i="9"/>
  <c r="G28" i="9"/>
  <c r="J18" i="9"/>
  <c r="I18" i="9"/>
  <c r="L28" i="9"/>
  <c r="M18" i="9"/>
  <c r="J19" i="9"/>
  <c r="I19" i="9"/>
  <c r="J20" i="9"/>
  <c r="I20" i="9"/>
  <c r="J21" i="9"/>
  <c r="I21" i="9"/>
  <c r="J22" i="9"/>
  <c r="I22" i="9"/>
  <c r="J23" i="9"/>
  <c r="I23" i="9"/>
  <c r="J24" i="9"/>
  <c r="I24" i="9"/>
  <c r="J25" i="9"/>
  <c r="I25" i="9"/>
  <c r="J26" i="9"/>
  <c r="I26" i="9"/>
  <c r="J27" i="9"/>
  <c r="I27" i="9"/>
  <c r="I95" i="33" l="1"/>
  <c r="H95" i="33"/>
  <c r="J85" i="33"/>
  <c r="E110" i="33"/>
  <c r="F120" i="33" s="1"/>
  <c r="D177" i="33"/>
  <c r="H38" i="33"/>
  <c r="E177" i="33"/>
  <c r="I57" i="33"/>
  <c r="D56" i="33"/>
  <c r="F110" i="33"/>
  <c r="G120" i="33" s="1"/>
  <c r="H123" i="33"/>
  <c r="F119" i="33"/>
  <c r="G109" i="33"/>
  <c r="H32" i="33"/>
  <c r="G72" i="33"/>
  <c r="F63" i="33" s="1"/>
  <c r="G93" i="33"/>
  <c r="D32" i="33"/>
  <c r="E20" i="33" s="1"/>
  <c r="F168" i="33" s="1"/>
  <c r="I4" i="10"/>
  <c r="F136" i="33"/>
  <c r="H136" i="33" s="1"/>
  <c r="G76" i="33"/>
  <c r="F67" i="33" s="1"/>
  <c r="Y40" i="28"/>
  <c r="S40" i="28"/>
  <c r="R40" i="28"/>
  <c r="Z40" i="28" s="1"/>
  <c r="G133" i="33"/>
  <c r="F135" i="33"/>
  <c r="H135" i="33" s="1"/>
  <c r="G75" i="33"/>
  <c r="F66" i="33" s="1"/>
  <c r="F137" i="33"/>
  <c r="H137" i="33" s="1"/>
  <c r="G77" i="33"/>
  <c r="F68" i="33" s="1"/>
  <c r="G134" i="33"/>
  <c r="H134" i="33" s="1"/>
  <c r="G74" i="33"/>
  <c r="E65" i="33" s="1"/>
  <c r="G132" i="33"/>
  <c r="F78" i="33"/>
  <c r="P61" i="28"/>
  <c r="P74" i="28" s="1"/>
  <c r="R39" i="28"/>
  <c r="I91" i="33" s="1"/>
  <c r="S39" i="28"/>
  <c r="I92" i="33" s="1"/>
  <c r="H36" i="33"/>
  <c r="J90" i="33"/>
  <c r="F32" i="33"/>
  <c r="G20" i="33" s="1"/>
  <c r="E105" i="33"/>
  <c r="G103" i="33"/>
  <c r="H103" i="33" s="1"/>
  <c r="G37" i="33"/>
  <c r="G104" i="33"/>
  <c r="F177" i="33" s="1"/>
  <c r="G38" i="33"/>
  <c r="F122" i="33"/>
  <c r="H122" i="33" s="1"/>
  <c r="G112" i="33"/>
  <c r="R38" i="28"/>
  <c r="H91" i="33" s="1"/>
  <c r="S38" i="28"/>
  <c r="H92" i="33" s="1"/>
  <c r="G36" i="33"/>
  <c r="D150" i="20"/>
  <c r="F105" i="33"/>
  <c r="H37" i="33"/>
  <c r="N61" i="28"/>
  <c r="Q41" i="28"/>
  <c r="O69" i="28"/>
  <c r="T50" i="28" s="1"/>
  <c r="N69" i="28"/>
  <c r="T40" i="28"/>
  <c r="AA40" i="28" s="1"/>
  <c r="Y38" i="28"/>
  <c r="X48" i="28"/>
  <c r="P41" i="28"/>
  <c r="N50" i="28"/>
  <c r="R41" i="28"/>
  <c r="O61" i="28"/>
  <c r="X47" i="28" s="1"/>
  <c r="Z38" i="28"/>
  <c r="Y39" i="28"/>
  <c r="M56" i="28"/>
  <c r="M63" i="28"/>
  <c r="N39" i="28"/>
  <c r="M55" i="28"/>
  <c r="M59" i="28"/>
  <c r="M58" i="28"/>
  <c r="M57" i="28"/>
  <c r="N40" i="28"/>
  <c r="M67" i="28"/>
  <c r="M66" i="28"/>
  <c r="M68" i="28"/>
  <c r="M65" i="28"/>
  <c r="N38" i="28"/>
  <c r="M54" i="28"/>
  <c r="M64" i="28"/>
  <c r="F91" i="20"/>
  <c r="F90" i="20"/>
  <c r="F89" i="20"/>
  <c r="F88" i="20"/>
  <c r="F97" i="20"/>
  <c r="F96" i="20"/>
  <c r="F95" i="20"/>
  <c r="F94" i="20"/>
  <c r="F51" i="33"/>
  <c r="F10" i="20"/>
  <c r="E35" i="20"/>
  <c r="D62" i="20"/>
  <c r="L87" i="20"/>
  <c r="E130" i="20"/>
  <c r="G152" i="20"/>
  <c r="D152" i="20"/>
  <c r="F152" i="20" s="1"/>
  <c r="I129" i="20"/>
  <c r="L93" i="20"/>
  <c r="F153" i="20"/>
  <c r="E153" i="20"/>
  <c r="D155" i="20"/>
  <c r="C155" i="20" s="1"/>
  <c r="C154" i="20"/>
  <c r="G155" i="20"/>
  <c r="G154" i="20"/>
  <c r="G153" i="20"/>
  <c r="G151" i="20"/>
  <c r="E129" i="20"/>
  <c r="C151" i="20"/>
  <c r="E151" i="20"/>
  <c r="F151" i="20"/>
  <c r="I3" i="10"/>
  <c r="J3" i="10" s="1"/>
  <c r="M28" i="9"/>
  <c r="H125" i="20"/>
  <c r="G125" i="20"/>
  <c r="I127" i="20"/>
  <c r="U48" i="28" s="1"/>
  <c r="E131" i="20"/>
  <c r="I126" i="20"/>
  <c r="L101" i="20"/>
  <c r="L102" i="20"/>
  <c r="E128" i="20"/>
  <c r="C127" i="20"/>
  <c r="E73" i="33" s="1"/>
  <c r="E126" i="20"/>
  <c r="D125" i="20"/>
  <c r="E59" i="20"/>
  <c r="C62" i="20"/>
  <c r="C9" i="20"/>
  <c r="E9" i="20" s="1"/>
  <c r="I99" i="20"/>
  <c r="I101" i="20"/>
  <c r="G98" i="20"/>
  <c r="I98" i="20" s="1"/>
  <c r="E98" i="20"/>
  <c r="L29" i="9"/>
  <c r="G29" i="9"/>
  <c r="F160" i="33" l="1"/>
  <c r="H87" i="33"/>
  <c r="E115" i="33"/>
  <c r="H104" i="33"/>
  <c r="G177" i="33" s="1"/>
  <c r="H120" i="33"/>
  <c r="G110" i="33"/>
  <c r="G115" i="33" s="1"/>
  <c r="J95" i="33"/>
  <c r="E67" i="33"/>
  <c r="G67" i="33" s="1"/>
  <c r="E63" i="33"/>
  <c r="G63" i="33" s="1"/>
  <c r="G139" i="33"/>
  <c r="G183" i="33" s="1"/>
  <c r="G31" i="33"/>
  <c r="F65" i="33"/>
  <c r="G65" i="33" s="1"/>
  <c r="E66" i="33"/>
  <c r="G66" i="33" s="1"/>
  <c r="G56" i="33"/>
  <c r="H56" i="33" s="1"/>
  <c r="F186" i="33"/>
  <c r="G39" i="33"/>
  <c r="E68" i="33"/>
  <c r="G68" i="33" s="1"/>
  <c r="F133" i="33"/>
  <c r="H133" i="33" s="1"/>
  <c r="G73" i="33"/>
  <c r="F64" i="33" s="1"/>
  <c r="I36" i="33"/>
  <c r="J92" i="33"/>
  <c r="G105" i="33"/>
  <c r="E15" i="33"/>
  <c r="E23" i="33"/>
  <c r="E31" i="33"/>
  <c r="G168" i="33" s="1"/>
  <c r="E26" i="33"/>
  <c r="E13" i="33"/>
  <c r="E22" i="33"/>
  <c r="E30" i="33"/>
  <c r="E9" i="33"/>
  <c r="E17" i="33"/>
  <c r="E28" i="33"/>
  <c r="E18" i="33"/>
  <c r="E11" i="33"/>
  <c r="E12" i="33"/>
  <c r="E10" i="33"/>
  <c r="E19" i="33"/>
  <c r="E25" i="33"/>
  <c r="E29" i="33"/>
  <c r="E24" i="33"/>
  <c r="E16" i="33"/>
  <c r="E27" i="33"/>
  <c r="E14" i="33"/>
  <c r="E21" i="33"/>
  <c r="J91" i="33"/>
  <c r="H93" i="33"/>
  <c r="C152" i="20"/>
  <c r="T39" i="28"/>
  <c r="AA39" i="28" s="1"/>
  <c r="G26" i="33"/>
  <c r="G12" i="33"/>
  <c r="G29" i="33"/>
  <c r="G17" i="33"/>
  <c r="G30" i="33"/>
  <c r="G15" i="33"/>
  <c r="G28" i="33"/>
  <c r="G16" i="33"/>
  <c r="G19" i="33"/>
  <c r="G23" i="33"/>
  <c r="G27" i="33"/>
  <c r="G14" i="33"/>
  <c r="G24" i="33"/>
  <c r="G13" i="33"/>
  <c r="G22" i="33"/>
  <c r="G18" i="33"/>
  <c r="G21" i="33"/>
  <c r="G10" i="33"/>
  <c r="G25" i="33"/>
  <c r="G9" i="33"/>
  <c r="G11" i="33"/>
  <c r="F61" i="20"/>
  <c r="G48" i="33" s="1"/>
  <c r="G85" i="33"/>
  <c r="F48" i="33"/>
  <c r="X49" i="28"/>
  <c r="G125" i="33"/>
  <c r="F115" i="33"/>
  <c r="F60" i="20"/>
  <c r="F47" i="33"/>
  <c r="Z39" i="28"/>
  <c r="E150" i="20"/>
  <c r="F150" i="20"/>
  <c r="C150" i="20"/>
  <c r="I125" i="20"/>
  <c r="U47" i="28"/>
  <c r="F59" i="20"/>
  <c r="G83" i="33"/>
  <c r="S41" i="28"/>
  <c r="Q49" i="28" s="1"/>
  <c r="T38" i="28"/>
  <c r="AA38" i="28" s="1"/>
  <c r="N74" i="28"/>
  <c r="H119" i="33"/>
  <c r="F125" i="33"/>
  <c r="G186" i="33"/>
  <c r="H39" i="33"/>
  <c r="E78" i="33"/>
  <c r="H132" i="33"/>
  <c r="N71" i="28"/>
  <c r="T41" i="28"/>
  <c r="AA41" i="28" s="1"/>
  <c r="Y41" i="28"/>
  <c r="W42" i="28" s="1"/>
  <c r="F107" i="20"/>
  <c r="F102" i="20"/>
  <c r="F100" i="20"/>
  <c r="F101" i="20"/>
  <c r="F99" i="20"/>
  <c r="F36" i="20"/>
  <c r="F39" i="20"/>
  <c r="G50" i="33" s="1"/>
  <c r="F40" i="20"/>
  <c r="F37" i="20"/>
  <c r="F38" i="20"/>
  <c r="G49" i="33" s="1"/>
  <c r="F41" i="20"/>
  <c r="G51" i="33" s="1"/>
  <c r="F9" i="20"/>
  <c r="Z41" i="28"/>
  <c r="U42" i="28"/>
  <c r="E127" i="20"/>
  <c r="E125" i="20" s="1"/>
  <c r="C133" i="20" s="1"/>
  <c r="E155" i="20"/>
  <c r="F155" i="20" s="1"/>
  <c r="E154" i="20"/>
  <c r="F154" i="20"/>
  <c r="E152" i="20"/>
  <c r="C125" i="20"/>
  <c r="E62" i="20"/>
  <c r="E34" i="20"/>
  <c r="E42" i="20"/>
  <c r="H168" i="33" l="1"/>
  <c r="F62" i="20"/>
  <c r="I38" i="33"/>
  <c r="K56" i="33"/>
  <c r="H83" i="33"/>
  <c r="G55" i="33"/>
  <c r="H55" i="33" s="1"/>
  <c r="F139" i="33"/>
  <c r="G78" i="33"/>
  <c r="E64" i="33"/>
  <c r="G64" i="33" s="1"/>
  <c r="H139" i="33"/>
  <c r="F146" i="33"/>
  <c r="F149" i="33"/>
  <c r="F152" i="33"/>
  <c r="F147" i="33"/>
  <c r="F182" i="33"/>
  <c r="F150" i="33"/>
  <c r="F148" i="33"/>
  <c r="F151" i="33"/>
  <c r="F153" i="33"/>
  <c r="W43" i="28"/>
  <c r="AA53" i="28" s="1"/>
  <c r="H125" i="33"/>
  <c r="F126" i="33" s="1"/>
  <c r="F162" i="33" s="1"/>
  <c r="H105" i="33"/>
  <c r="I37" i="33"/>
  <c r="G148" i="33"/>
  <c r="G151" i="33"/>
  <c r="G146" i="33"/>
  <c r="G149" i="33"/>
  <c r="G152" i="33"/>
  <c r="G147" i="33"/>
  <c r="G182" i="33"/>
  <c r="G153" i="33"/>
  <c r="G150" i="33"/>
  <c r="H186" i="33"/>
  <c r="G160" i="33"/>
  <c r="I93" i="33"/>
  <c r="I87" i="33"/>
  <c r="J87" i="33" s="1"/>
  <c r="Q74" i="28"/>
  <c r="R74" i="28" s="1"/>
  <c r="F34" i="20"/>
  <c r="G86" i="33"/>
  <c r="G96" i="33" s="1"/>
  <c r="F46" i="33"/>
  <c r="C134" i="20"/>
  <c r="F52" i="33"/>
  <c r="P76" i="28"/>
  <c r="F126" i="20"/>
  <c r="F128" i="20"/>
  <c r="F131" i="20"/>
  <c r="F129" i="20"/>
  <c r="F130" i="20"/>
  <c r="F127" i="20"/>
  <c r="F42" i="20"/>
  <c r="G52" i="33" s="1"/>
  <c r="D107" i="20"/>
  <c r="E107" i="20"/>
  <c r="E108" i="20"/>
  <c r="J83" i="33" l="1"/>
  <c r="H96" i="33"/>
  <c r="F171" i="33" s="1"/>
  <c r="I39" i="33"/>
  <c r="E4" i="29" s="1"/>
  <c r="G57" i="33"/>
  <c r="K57" i="33" s="1"/>
  <c r="K55" i="33"/>
  <c r="F163" i="33"/>
  <c r="F164" i="33"/>
  <c r="H160" i="33"/>
  <c r="G161" i="33"/>
  <c r="I119" i="33"/>
  <c r="F161" i="33"/>
  <c r="H152" i="33"/>
  <c r="H149" i="33"/>
  <c r="I132" i="33"/>
  <c r="G126" i="33"/>
  <c r="G162" i="33" s="1"/>
  <c r="I133" i="33"/>
  <c r="H153" i="33"/>
  <c r="H151" i="33"/>
  <c r="F154" i="33"/>
  <c r="H146" i="33"/>
  <c r="H148" i="33"/>
  <c r="I139" i="33"/>
  <c r="H140" i="33"/>
  <c r="G140" i="33"/>
  <c r="F183" i="33"/>
  <c r="H183" i="33" s="1"/>
  <c r="F140" i="33"/>
  <c r="F35" i="20"/>
  <c r="G47" i="33" s="1"/>
  <c r="G46" i="33"/>
  <c r="H182" i="33"/>
  <c r="H147" i="33"/>
  <c r="H150" i="33"/>
  <c r="H86" i="33"/>
  <c r="I86" i="33"/>
  <c r="I96" i="33" s="1"/>
  <c r="G171" i="33" s="1"/>
  <c r="G154" i="33"/>
  <c r="H126" i="33"/>
  <c r="I138" i="33"/>
  <c r="I121" i="33"/>
  <c r="I123" i="33"/>
  <c r="I124" i="33"/>
  <c r="I134" i="33"/>
  <c r="I137" i="33"/>
  <c r="I122" i="33"/>
  <c r="I135" i="33"/>
  <c r="I136" i="33"/>
  <c r="J32" i="33"/>
  <c r="I120" i="33"/>
  <c r="H171" i="33" l="1"/>
  <c r="J86" i="33"/>
  <c r="J96" i="33" s="1"/>
  <c r="J97" i="33" s="1"/>
  <c r="J39" i="33"/>
  <c r="H57" i="33"/>
  <c r="F165" i="33"/>
  <c r="G163" i="33"/>
  <c r="G165" i="33" s="1"/>
  <c r="G164" i="33"/>
  <c r="I125" i="33"/>
  <c r="I186" i="33"/>
  <c r="H154" i="33"/>
  <c r="H155" i="33" s="1"/>
  <c r="G185" i="33"/>
  <c r="I183" i="33"/>
  <c r="F184" i="33"/>
  <c r="G184" i="33"/>
  <c r="H162" i="33"/>
  <c r="H161" i="33"/>
  <c r="F169" i="33" l="1"/>
  <c r="F173" i="33" s="1"/>
  <c r="H177" i="33" s="1"/>
  <c r="I177" i="33" s="1"/>
  <c r="G169" i="33"/>
  <c r="G173" i="33" s="1"/>
  <c r="G187" i="33"/>
  <c r="G155" i="33"/>
  <c r="H163" i="33"/>
  <c r="H97" i="33"/>
  <c r="F170" i="33" s="1"/>
  <c r="F172" i="33" s="1"/>
  <c r="F185" i="33"/>
  <c r="H185" i="33" s="1"/>
  <c r="I97" i="33"/>
  <c r="G170" i="33" s="1"/>
  <c r="G172" i="33" s="1"/>
  <c r="F155" i="33"/>
  <c r="H184" i="33"/>
  <c r="H170" i="33" l="1"/>
  <c r="H169" i="33"/>
  <c r="I185" i="33"/>
  <c r="I184" i="33"/>
  <c r="F187" i="33"/>
  <c r="H187" i="33" s="1"/>
  <c r="I187" i="33" s="1"/>
  <c r="I188" i="33" l="1"/>
  <c r="E96" i="20" l="1"/>
  <c r="E95" i="20"/>
  <c r="I93" i="20"/>
  <c r="F93" i="20" s="1"/>
  <c r="E93" i="20"/>
  <c r="E87" i="20"/>
  <c r="E88" i="20"/>
  <c r="E89" i="20"/>
  <c r="E90" i="20"/>
  <c r="E91" i="20"/>
  <c r="I87" i="20" l="1"/>
  <c r="F87" i="20" s="1"/>
  <c r="H79" i="20"/>
  <c r="E81" i="20"/>
  <c r="E84" i="20"/>
  <c r="E82" i="20"/>
  <c r="E80" i="20"/>
  <c r="E83" i="20"/>
  <c r="G79" i="20" l="1"/>
  <c r="I79" i="20" s="1"/>
  <c r="I103" i="20" l="1"/>
  <c r="F85" i="20"/>
  <c r="F84" i="20"/>
  <c r="F83" i="20"/>
  <c r="F82" i="20"/>
  <c r="F81" i="20"/>
  <c r="F80" i="20"/>
</calcChain>
</file>

<file path=xl/sharedStrings.xml><?xml version="1.0" encoding="utf-8"?>
<sst xmlns="http://schemas.openxmlformats.org/spreadsheetml/2006/main" count="1048" uniqueCount="483">
  <si>
    <t>Nombre</t>
  </si>
  <si>
    <t>Estado</t>
  </si>
  <si>
    <t>Número predios originales</t>
  </si>
  <si>
    <t>Área Bruta</t>
  </si>
  <si>
    <t>Área Util</t>
  </si>
  <si>
    <t>Número unidades de gestión</t>
  </si>
  <si>
    <t>Usos propuestos</t>
  </si>
  <si>
    <t>I.C</t>
  </si>
  <si>
    <t>I.O</t>
  </si>
  <si>
    <t>Altura máxima</t>
  </si>
  <si>
    <t>m2</t>
  </si>
  <si>
    <t>ha.</t>
  </si>
  <si>
    <t>Centenario​</t>
  </si>
  <si>
    <t>Formulación</t>
  </si>
  <si>
    <t>Vivienda multifamiliar y Comercio vecinal</t>
  </si>
  <si>
    <t>Ferrocarril
Calle 13 ​</t>
  </si>
  <si>
    <t>Adoptado</t>
  </si>
  <si>
    <t>Resultante</t>
  </si>
  <si>
    <t>Los Ejidos​​</t>
  </si>
  <si>
    <t>Vivienda multifamiliar y Comercio zonal</t>
  </si>
  <si>
    <t>Dispapeles</t>
  </si>
  <si>
    <t>Bancafé</t>
  </si>
  <si>
    <t>Vivienda multifamiliar</t>
  </si>
  <si>
    <t>M30</t>
  </si>
  <si>
    <t>Av. Colon​</t>
  </si>
  <si>
    <t>Vivienda multifamiliar y Comercio</t>
  </si>
  <si>
    <t>Tipo de vivienda​</t>
  </si>
  <si>
    <t># de viviendas​</t>
  </si>
  <si>
    <t># personas por viviendas​</t>
  </si>
  <si>
    <t>Índice de espacio público efectivo por habitante ​</t>
  </si>
  <si>
    <t>Vivienda estudiantil ​</t>
  </si>
  <si>
    <t>120 ​</t>
  </si>
  <si>
    <t>1​</t>
  </si>
  <si>
    <r>
      <t>6,15 m</t>
    </r>
    <r>
      <rPr>
        <vertAlign val="superscript"/>
        <sz val="10"/>
        <color rgb="FF000000"/>
        <rFont val="Calibri"/>
        <family val="2"/>
      </rPr>
      <t>2</t>
    </r>
    <r>
      <rPr>
        <sz val="10"/>
        <color rgb="FF000000"/>
        <rFont val="Calibri"/>
        <family val="2"/>
      </rPr>
      <t xml:space="preserve"> x habitante ​</t>
    </r>
  </si>
  <si>
    <t>Vivienda interés social ​</t>
  </si>
  <si>
    <t>443​</t>
  </si>
  <si>
    <t>3​</t>
  </si>
  <si>
    <t>Vivienda de ingresos medios​</t>
  </si>
  <si>
    <t>530​</t>
  </si>
  <si>
    <t>Total ​</t>
  </si>
  <si>
    <t>1.093 viviendas​</t>
  </si>
  <si>
    <t>3.040 personas ​</t>
  </si>
  <si>
    <t>Metros cuadrados de espacio público ofrecidos en el plan parcial ​</t>
  </si>
  <si>
    <r>
      <t>18.712,92 m</t>
    </r>
    <r>
      <rPr>
        <b/>
        <vertAlign val="superscript"/>
        <sz val="10"/>
        <color rgb="FF000000"/>
        <rFont val="Calibri"/>
        <family val="2"/>
      </rPr>
      <t>2</t>
    </r>
    <r>
      <rPr>
        <b/>
        <sz val="10"/>
        <color rgb="FF000000"/>
        <rFont val="Calibri"/>
        <family val="2"/>
      </rPr>
      <t> ​</t>
    </r>
  </si>
  <si>
    <t>M I T I G A C I Ó N  DE  I M P A C T O S</t>
  </si>
  <si>
    <t>Uso</t>
  </si>
  <si>
    <t>Tipo</t>
  </si>
  <si>
    <t>Código/Descripón</t>
  </si>
  <si>
    <t xml:space="preserve">Vivienda </t>
  </si>
  <si>
    <t>Urbanísticas (artículo 248)</t>
  </si>
  <si>
    <t>MU2 - Andenes: adecuación, rehabilitación o construcción de andenes sobre el frente del predio completo que contenga los accesos.</t>
  </si>
  <si>
    <t>MU3 - Operación completa al interior: destinación de áreas operativas y funcionales para cargue y descargue, acumulación de vehículos, parqueo temporal y maniobrabilidad vehicular.</t>
  </si>
  <si>
    <t>Ambientales (artículo 245)</t>
  </si>
  <si>
    <t>MA1 - Control de ruido: Espacos deberán cumplir con estándares de ruido máximo permitido.</t>
  </si>
  <si>
    <t>MA8 -  Áreasde amortiguamiento: usos que colinden con EP deberán localizar prioritariamentecesiones públicas y espacio privado afecto al uso público y desarrollar estrategas paisajísticas.</t>
  </si>
  <si>
    <t>Servicios logísticos - Tipo 1: menor a 500 m2</t>
  </si>
  <si>
    <t>No indica</t>
  </si>
  <si>
    <t>Servicios logísticos - Tipo 2: entre 500 m2
y 4000 m2</t>
  </si>
  <si>
    <t>Servicios logísticos - Tipo 3: mayor a
4000 m2</t>
  </si>
  <si>
    <t>Comercio - 
Tipo 1: menor
a 500 m2</t>
  </si>
  <si>
    <t>Comercio - 
Tipo 2: entre
500 m2 y 4000 m2</t>
  </si>
  <si>
    <t>MU1 - Zonas de transición: construccion de áreas de transición funcional entre el espacio público y el privado destinado al tránsito y permanencia de peatones.</t>
  </si>
  <si>
    <t xml:space="preserve"> </t>
  </si>
  <si>
    <t>Comercio - Tipo 3: mayor a 4000 m2</t>
  </si>
  <si>
    <t>Oficinas - Tipo 1: menos 
de 500 m2</t>
  </si>
  <si>
    <t>Oficinas - Tipo 2:
entre 500 m2 
y 4000 m2</t>
  </si>
  <si>
    <t>Oficinas - Tipo 3:
mayor a 4000 m2</t>
  </si>
  <si>
    <t>Servicios del cuidado 
Dotacionales - Tipo 1 
(área menor o igual
a 4000 m2)</t>
  </si>
  <si>
    <t>Servicios del cuidado 
Dotacionales - Tipo 2
(área entre 4000 m2
y 15000 m2)</t>
  </si>
  <si>
    <t>Predios con usos industriales activos</t>
  </si>
  <si>
    <r>
      <t>Tipo de Carga </t>
    </r>
    <r>
      <rPr>
        <sz val="12"/>
        <color rgb="FF000000"/>
        <rFont val="Times"/>
        <charset val="1"/>
      </rPr>
      <t> </t>
    </r>
  </si>
  <si>
    <r>
      <rPr>
        <b/>
        <sz val="10"/>
        <color rgb="FFFFFFFF"/>
        <rFont val="Calibri"/>
      </rPr>
      <t>Area m² </t>
    </r>
    <r>
      <rPr>
        <sz val="12"/>
        <color rgb="FF000000"/>
        <rFont val="Times"/>
      </rPr>
      <t> </t>
    </r>
  </si>
  <si>
    <r>
      <t>Costo total </t>
    </r>
    <r>
      <rPr>
        <sz val="12"/>
        <color rgb="FF000000"/>
        <rFont val="Times"/>
        <charset val="1"/>
      </rPr>
      <t> </t>
    </r>
  </si>
  <si>
    <t>Manzana</t>
  </si>
  <si>
    <t>No.</t>
  </si>
  <si>
    <t>Dirección</t>
  </si>
  <si>
    <t>Propietario</t>
  </si>
  <si>
    <t>Area m²</t>
  </si>
  <si>
    <t>Pasivos Ambientales – control ambiental  </t>
  </si>
  <si>
    <t>Estudios de impactos ambientales  </t>
  </si>
  <si>
    <t>TOTAL m²</t>
  </si>
  <si>
    <t>CHIP</t>
  </si>
  <si>
    <t>Arrendatario</t>
  </si>
  <si>
    <t>Manzana 1</t>
  </si>
  <si>
    <t>AC 13 35 90</t>
  </si>
  <si>
    <t>AAA0073RYJZ</t>
  </si>
  <si>
    <t>Adolfo Patiño Osorio</t>
  </si>
  <si>
    <t>No</t>
  </si>
  <si>
    <t>Comercio</t>
  </si>
  <si>
    <t>AK 36 13 38</t>
  </si>
  <si>
    <t>AAA0073RYKC</t>
  </si>
  <si>
    <t>Fiduciaria Davivienda S.A. como vocera y administradora del patrimonio autónomo Fideicomiso AGP Colombia</t>
  </si>
  <si>
    <t>Si</t>
  </si>
  <si>
    <t>AK 36 13 92</t>
  </si>
  <si>
    <t>AAA0073RYLF</t>
  </si>
  <si>
    <t>CL 15 35 79</t>
  </si>
  <si>
    <t>AAA0073RYMR</t>
  </si>
  <si>
    <t>Codensa S.A.</t>
  </si>
  <si>
    <t>Industrial</t>
  </si>
  <si>
    <t>CL 15 35 59</t>
  </si>
  <si>
    <t>AAA0073RYNX</t>
  </si>
  <si>
    <t>CL 15 35 41</t>
  </si>
  <si>
    <t>AAA0073RYOM</t>
  </si>
  <si>
    <t>KR 35 13 77</t>
  </si>
  <si>
    <t>AAA0073RYPA</t>
  </si>
  <si>
    <t>BBVA Colombia</t>
  </si>
  <si>
    <t>AC 13 35 38</t>
  </si>
  <si>
    <t>AAA0073RYEP</t>
  </si>
  <si>
    <t>SOCIEDAD DE FABRICACION DE AUTOMOTORES S.A SOFASA</t>
  </si>
  <si>
    <t>KR 35 13 13</t>
  </si>
  <si>
    <t>AAA0073RYDE</t>
  </si>
  <si>
    <t>IMPORTADORA SANCHEZ Y CIA</t>
  </si>
  <si>
    <t>AC 13 35 52</t>
  </si>
  <si>
    <t>AAA0073RYFZ</t>
  </si>
  <si>
    <t>TECNOLOGIA INMIBILIARIA S.A</t>
  </si>
  <si>
    <t>AC 13 35 60</t>
  </si>
  <si>
    <t>AAA0073RYHK</t>
  </si>
  <si>
    <t xml:space="preserve">TECNOLOGIA INMIBILIARIA S.A. </t>
  </si>
  <si>
    <t>Manzana 2</t>
  </si>
  <si>
    <t>KR 35 13 20</t>
  </si>
  <si>
    <t>AAA0073RWMR</t>
  </si>
  <si>
    <t>Inversiones JP Constructora S.A.S.</t>
  </si>
  <si>
    <t>KR 35 13 62</t>
  </si>
  <si>
    <t>AAA0160AORJ</t>
  </si>
  <si>
    <t>SDC Inversiones S.A.</t>
  </si>
  <si>
    <t>KR 35 13 84</t>
  </si>
  <si>
    <t>AAA0073RWOM</t>
  </si>
  <si>
    <t>Excedentes Industriales LTDA</t>
  </si>
  <si>
    <t>CL 15 34 73</t>
  </si>
  <si>
    <t>AAA0160AOSY</t>
  </si>
  <si>
    <t>CL 15 34 35</t>
  </si>
  <si>
    <t>AAA0073RWLF</t>
  </si>
  <si>
    <t>Harinera del Valle S.A.</t>
  </si>
  <si>
    <t>KR 34 13 97</t>
  </si>
  <si>
    <t>AAA0073RWPA</t>
  </si>
  <si>
    <t>KR 34 13 61</t>
  </si>
  <si>
    <t>AAA0073RWRJ</t>
  </si>
  <si>
    <t>Ana Isabel De Botton Child</t>
  </si>
  <si>
    <t>KR 34 13 35</t>
  </si>
  <si>
    <t>AAA0073RWTD</t>
  </si>
  <si>
    <t>AC 13 34 10</t>
  </si>
  <si>
    <t>AAA0073RWSY</t>
  </si>
  <si>
    <t>AC 13 34 54</t>
  </si>
  <si>
    <t>AAA0073RWKC</t>
  </si>
  <si>
    <t>Inmobiliaria Santa Teresita LTDA</t>
  </si>
  <si>
    <t>Activo</t>
  </si>
  <si>
    <t>Inactivo</t>
  </si>
  <si>
    <t>INDUSTRIALES ACTIVOS</t>
  </si>
  <si>
    <t>COMPENSACIÓN PARA INDUSTRIALES ACTIVOS</t>
  </si>
  <si>
    <t>IDENTIFICACIÓN</t>
  </si>
  <si>
    <t>Área
construida m²</t>
  </si>
  <si>
    <t>Área
terreno m²</t>
  </si>
  <si>
    <t>VALOR SUELO m²</t>
  </si>
  <si>
    <t>VALOR m2 CONSTRUCCIÓN</t>
  </si>
  <si>
    <t>TOTAL SUELO</t>
  </si>
  <si>
    <t>COMPENSACIÓN PARA CONSTRUCCIÓN</t>
  </si>
  <si>
    <t>COMPENSACIÓN VALOR DESMONTE INDUSTRIAL</t>
  </si>
  <si>
    <t>COMPENSACIÓN VALOR ADQUISICIÓN NUEVOS TERRENOS</t>
  </si>
  <si>
    <t>COMPENSACIÓN DE REUBICACIÓN (CONSTRUCCIÓN + NUEVOS TERRENOS)</t>
  </si>
  <si>
    <t>TOTAL</t>
  </si>
  <si>
    <t>TOTALES</t>
  </si>
  <si>
    <t>TOTALES SUELO</t>
  </si>
  <si>
    <t>INDUSTRIALES INACTIVOS</t>
  </si>
  <si>
    <t>TOTALES CARGA</t>
  </si>
  <si>
    <t>m² por bodega</t>
  </si>
  <si>
    <t>Valor final del suelo</t>
  </si>
  <si>
    <t>Se reconoce por 2 metros de industria un metro de logisticos</t>
  </si>
  <si>
    <t>Area vendible</t>
  </si>
  <si>
    <t>MZ 1</t>
  </si>
  <si>
    <t>MZ 2</t>
  </si>
  <si>
    <t>Total</t>
  </si>
  <si>
    <t>COMERCIO</t>
  </si>
  <si>
    <t>LOGÍSTICO</t>
  </si>
  <si>
    <t>TOTAL A INDEMIZAR</t>
  </si>
  <si>
    <t>m² por uso</t>
  </si>
  <si>
    <t>REMPLAZO EN COMERCIO</t>
  </si>
  <si>
    <t xml:space="preserve"> Se reconoce por cada 3 metros de comercio 1 metro de comercio</t>
  </si>
  <si>
    <t xml:space="preserve">IDENTIFICACIÓN </t>
  </si>
  <si>
    <t>ÁREA CONSTRUIDA</t>
  </si>
  <si>
    <t>REMPLAZO EN LOGÍSTICOS</t>
  </si>
  <si>
    <t>se reconoce por cada 2 metros de logístico 1 metro de logístico</t>
  </si>
  <si>
    <t>Inicial</t>
  </si>
  <si>
    <t xml:space="preserve">Final </t>
  </si>
  <si>
    <t>Área privada</t>
  </si>
  <si>
    <t>Valor del suelo m²</t>
  </si>
  <si>
    <t>Cesiones</t>
  </si>
  <si>
    <t>Espacio público</t>
  </si>
  <si>
    <t>Dotacional</t>
  </si>
  <si>
    <t>Vias</t>
  </si>
  <si>
    <t>APAUP</t>
  </si>
  <si>
    <t>Industria</t>
  </si>
  <si>
    <t>Servicios logisticos</t>
  </si>
  <si>
    <t>Oficina</t>
  </si>
  <si>
    <t>Vivienda No VIS</t>
  </si>
  <si>
    <t>VIS</t>
  </si>
  <si>
    <t>VIP</t>
  </si>
  <si>
    <t xml:space="preserve">Vivienda Estudiantil </t>
  </si>
  <si>
    <t>ÁREAS ACTUALES</t>
  </si>
  <si>
    <t>Porcentaje</t>
  </si>
  <si>
    <t>Mz 1</t>
  </si>
  <si>
    <t>Mz 2</t>
  </si>
  <si>
    <t>Delimitación Plan Parcial</t>
  </si>
  <si>
    <t>Área total manzanas</t>
  </si>
  <si>
    <t>Espacio público circundante</t>
  </si>
  <si>
    <t>Área m²</t>
  </si>
  <si>
    <t>Afectaciones</t>
  </si>
  <si>
    <t>Área neta urbanizable</t>
  </si>
  <si>
    <t>Cesión adicional andenes</t>
  </si>
  <si>
    <t>Área Construida m²</t>
  </si>
  <si>
    <t>Área Vendible m²</t>
  </si>
  <si>
    <t>Primer piso - PLATAFORMA</t>
  </si>
  <si>
    <t xml:space="preserve">Oficinas </t>
  </si>
  <si>
    <t>Vivienda Estudiantil</t>
  </si>
  <si>
    <t>Vivienda ingresos medios</t>
  </si>
  <si>
    <t>Segundo piso - PLATAFORMA</t>
  </si>
  <si>
    <t>Tercer piso - PLATAFORMA</t>
  </si>
  <si>
    <t>Obligación VIS</t>
  </si>
  <si>
    <t>Área Útil</t>
  </si>
  <si>
    <t>Área Ocupada</t>
  </si>
  <si>
    <t>Usos</t>
  </si>
  <si>
    <t>Mz1 - Torre 1</t>
  </si>
  <si>
    <t>No VIS</t>
  </si>
  <si>
    <t>Mz1 - Torre 2</t>
  </si>
  <si>
    <t>Mz1 - Torre 3</t>
  </si>
  <si>
    <t>Mz2 - Torre 4</t>
  </si>
  <si>
    <t>Mz2 - Torre 5</t>
  </si>
  <si>
    <t>Mz2 - Torre 6</t>
  </si>
  <si>
    <t>Costo Gerencia y Construcción</t>
  </si>
  <si>
    <t>Honorarios Ventas</t>
  </si>
  <si>
    <t>Publicidad y Sala de Ventas</t>
  </si>
  <si>
    <t>Legales y Notariales</t>
  </si>
  <si>
    <t>Costos Fiduciarios</t>
  </si>
  <si>
    <t>Costo Financiero</t>
  </si>
  <si>
    <t>Estudios y Diseños</t>
  </si>
  <si>
    <t>Impuestos</t>
  </si>
  <si>
    <t>Mejoramiento y adecuación vias</t>
  </si>
  <si>
    <t>Estudios ambientales</t>
  </si>
  <si>
    <t>Pasivos ambientales</t>
  </si>
  <si>
    <t xml:space="preserve">Redes locales infraestructura del sis. acueducto y alcantarillado </t>
  </si>
  <si>
    <t>Compensación carga VIP</t>
  </si>
  <si>
    <t>Área de manejo diferenciado</t>
  </si>
  <si>
    <t>* Elaboración propia, información base de datos Catastro Distrital - 2021.</t>
  </si>
  <si>
    <t>CONFIGURACIÓN PREDIAL ACTUAL</t>
  </si>
  <si>
    <t>Altura (pisos)</t>
  </si>
  <si>
    <t>Valor catastral</t>
  </si>
  <si>
    <t>Valor comercial aprox.</t>
  </si>
  <si>
    <t>Valor comercial m²</t>
  </si>
  <si>
    <t>TOTAL Manzana 1</t>
  </si>
  <si>
    <t>TOTAL Manzana 2</t>
  </si>
  <si>
    <t>Folio de matrícula</t>
  </si>
  <si>
    <t>Comentarios</t>
  </si>
  <si>
    <t>50C-200925</t>
  </si>
  <si>
    <t>N.A</t>
  </si>
  <si>
    <t>50C-622135</t>
  </si>
  <si>
    <t>50C-1215315</t>
  </si>
  <si>
    <t>50C-472098</t>
  </si>
  <si>
    <t>50C-50147</t>
  </si>
  <si>
    <t>50C-287629</t>
  </si>
  <si>
    <t>50C-220913</t>
  </si>
  <si>
    <t>Declaración de bien de interés cultural</t>
  </si>
  <si>
    <t>50C-26009</t>
  </si>
  <si>
    <t>50C-849</t>
  </si>
  <si>
    <t>50C-33979</t>
  </si>
  <si>
    <t>50C-733764</t>
  </si>
  <si>
    <t>50C-275694</t>
  </si>
  <si>
    <t>50C-54066</t>
  </si>
  <si>
    <t>50C-520179</t>
  </si>
  <si>
    <t>50C-59420</t>
  </si>
  <si>
    <t>50C-1505597</t>
  </si>
  <si>
    <t>50C-928284</t>
  </si>
  <si>
    <t>Inscripción de contrato de arrendamiento con Empresas Unidas de Energía Eléctrica de Bogotá de 2009</t>
  </si>
  <si>
    <t>50C-691051</t>
  </si>
  <si>
    <t>50C-1500975</t>
  </si>
  <si>
    <t>50C-1500974</t>
  </si>
  <si>
    <t>50C-1258877</t>
  </si>
  <si>
    <t>EXTINCION DEL DERECHO DE DOMINIO PRIVADO SOBRE LA CUAL SE EXTINGUIO EL "65.34% a favor del Fondo para la Rehabilitacion, inversion social y lucha contra el crimen organizado-Frisco</t>
  </si>
  <si>
    <t>Hallazgos</t>
  </si>
  <si>
    <t>Medida de mitigación</t>
  </si>
  <si>
    <t>Ninguna. Se conservará el bien de interés cultural, con una adecuación funcional.</t>
  </si>
  <si>
    <t>Inscripción de una anotación de extinción del derecho de dominio privado sobre la cual se extinguió un porcentaje de propiedad equivalente al 65.34% a favor del Fondo para la Rehabilitación, inversión social y lucha contra el crimen organizado-Frisco, hoy sociedad de Activos Especiales SAE.</t>
  </si>
  <si>
    <t>Se deberá negociar con la Sociedad de Activos Especiales – SAE para la adquisición de la cuota de propiedad correspondiente.</t>
  </si>
  <si>
    <t>CUADRO DE ÁREAS</t>
  </si>
  <si>
    <t>Art. 328 Minimo 3 ha.</t>
  </si>
  <si>
    <t>Espacio público manzanas</t>
  </si>
  <si>
    <t>Art. 328 - 65%- Obligaciones urbanísticas para proyectos que requieren de la adopción de plan parcial</t>
  </si>
  <si>
    <t>Área Privada manzanas</t>
  </si>
  <si>
    <t>Afectación carrera 36</t>
  </si>
  <si>
    <t>Plano sistema de Movilidad - espacio publico para la movilidad- red vial</t>
  </si>
  <si>
    <t>ÁREAS PROPUESTA URBANISTICA</t>
  </si>
  <si>
    <t>Área Bruta de la urbanización</t>
  </si>
  <si>
    <t>Art. 498. No. 5 - Áreas de manejo diferenciado</t>
  </si>
  <si>
    <t>Cesión a reubicar Calle 14</t>
  </si>
  <si>
    <t>Art.328- Obligaciones urbanísticas para proyectos que requieren de la adopción de plan parcial</t>
  </si>
  <si>
    <t>Art. 328- Obligaciones urbanísticas para proyectos que requieren de la adopción de plan parcial</t>
  </si>
  <si>
    <r>
      <rPr>
        <sz val="9"/>
        <color rgb="FF595959"/>
        <rFont val="Calibri"/>
      </rPr>
      <t xml:space="preserve">Equipamiento - BIC </t>
    </r>
    <r>
      <rPr>
        <sz val="7"/>
        <color rgb="FF595959"/>
        <rFont val="Calibri"/>
      </rPr>
      <t>(área ocupada)</t>
    </r>
  </si>
  <si>
    <t>Art. 329. Paragrafo 1.  .Obligación urbanística para equipamiento público (se podrán entregar bienes de interés cultural que se encuentren al interior del proyecto</t>
  </si>
  <si>
    <r>
      <rPr>
        <sz val="9"/>
        <color rgb="FF595959"/>
        <rFont val="Calibri"/>
      </rPr>
      <t xml:space="preserve">Equipamiento Servicios del cuidado </t>
    </r>
    <r>
      <rPr>
        <sz val="7"/>
        <color rgb="FF595959"/>
        <rFont val="Calibri"/>
      </rPr>
      <t>(área ocupada)</t>
    </r>
  </si>
  <si>
    <t>Art. 329- .Obligación urbanística para equipamiento público ( tres por ciento (3%) del área del terreno o el tres (3%) por ciento del área total construida.)</t>
  </si>
  <si>
    <t>Cesión espacio público efectivo</t>
  </si>
  <si>
    <t>Total cargas área ocupada</t>
  </si>
  <si>
    <r>
      <rPr>
        <sz val="9"/>
        <color rgb="FF595959"/>
        <rFont val="Calibri"/>
      </rPr>
      <t xml:space="preserve">Equipamiento - BIC </t>
    </r>
    <r>
      <rPr>
        <sz val="7"/>
        <color rgb="FF595959"/>
        <rFont val="Calibri"/>
      </rPr>
      <t>(área construida)</t>
    </r>
  </si>
  <si>
    <t>Art. 329 -.Obligación urbanística para equipamiento público (se podrán entregar bienes de interés cultural que se encuentren al interior del proyecto)</t>
  </si>
  <si>
    <r>
      <rPr>
        <sz val="9"/>
        <color rgb="FF595959"/>
        <rFont val="Calibri"/>
      </rPr>
      <t xml:space="preserve">Equipamiento Servicios del cuidado </t>
    </r>
    <r>
      <rPr>
        <sz val="7"/>
        <color rgb="FF595959"/>
        <rFont val="Calibri"/>
      </rPr>
      <t>(área construida)</t>
    </r>
  </si>
  <si>
    <t>Art. 329- .Obligación urbanística para equipamiento público (tres por ciento (3%) del área del terreno o el tres (3%) por ciento del área total construida)</t>
  </si>
  <si>
    <r>
      <rPr>
        <sz val="9"/>
        <color rgb="FF000000"/>
        <rFont val="Calibri"/>
      </rPr>
      <t xml:space="preserve">Cesión espacio público </t>
    </r>
    <r>
      <rPr>
        <sz val="7"/>
        <color rgb="FF000000"/>
        <rFont val="Calibri"/>
      </rPr>
      <t>efectivo - adicional - reubicar</t>
    </r>
  </si>
  <si>
    <t>Art. 328 Obligaciones urbanísticas para proyectos que requieren de la adopción de plan parcial -65%</t>
  </si>
  <si>
    <t>Total cargas área construida</t>
  </si>
  <si>
    <t>Número de unidades</t>
  </si>
  <si>
    <t xml:space="preserve">Art. 243 - Tipo 1- Usos del suelo permitidos por área de actividad. </t>
  </si>
  <si>
    <r>
      <t xml:space="preserve">Servicios logisticos </t>
    </r>
    <r>
      <rPr>
        <sz val="7"/>
        <color theme="1"/>
        <rFont val="Calibri"/>
        <family val="2"/>
      </rPr>
      <t>(Puntos fijos)</t>
    </r>
  </si>
  <si>
    <r>
      <t xml:space="preserve">Oficinas </t>
    </r>
    <r>
      <rPr>
        <sz val="7"/>
        <color theme="1"/>
        <rFont val="Calibri"/>
        <family val="2"/>
      </rPr>
      <t>(Puntos fijos)</t>
    </r>
  </si>
  <si>
    <r>
      <t>Vivienda Interes Social</t>
    </r>
    <r>
      <rPr>
        <sz val="7"/>
        <color theme="1"/>
        <rFont val="Calibri"/>
        <family val="2"/>
      </rPr>
      <t xml:space="preserve"> (Puntos fijos)</t>
    </r>
  </si>
  <si>
    <t>Art. 322-Obligación de destinar porciones de suelo a la construcción de vivienda de interés social o prioritario o su equivalente en metros cuadrados de construcción</t>
  </si>
  <si>
    <r>
      <rPr>
        <sz val="10"/>
        <color rgb="FF000000"/>
        <rFont val="Calibri"/>
      </rPr>
      <t xml:space="preserve">Vivienda Estudiantil </t>
    </r>
    <r>
      <rPr>
        <sz val="7"/>
        <color rgb="FF000000"/>
        <rFont val="Calibri"/>
      </rPr>
      <t>(Puntos fijos)</t>
    </r>
  </si>
  <si>
    <r>
      <t xml:space="preserve">Vivienda ingresos medios </t>
    </r>
    <r>
      <rPr>
        <sz val="7"/>
        <color theme="1"/>
        <rFont val="Calibri"/>
        <family val="2"/>
      </rPr>
      <t>(Puntos fijos)</t>
    </r>
  </si>
  <si>
    <t xml:space="preserve">Art. 243- Residencial Multifamiliar </t>
  </si>
  <si>
    <t xml:space="preserve">Art. 243- Tipo 1-Usos del suelo permitidos por área de actividad. </t>
  </si>
  <si>
    <t xml:space="preserve">Art. 243 Tipo 1-Usos del suelo permitidos por área de actividad. </t>
  </si>
  <si>
    <t>Art. 243 -Residencial Multifamiliar</t>
  </si>
  <si>
    <t xml:space="preserve">Art. 243 Tipo 1 -Usos del suelo permitidos por área de actividad. </t>
  </si>
  <si>
    <t>Art. 322 (Minimo 6%)-Obligación de destinar porciones de suelo a la construcción de vivienda de interés social o prioritario o su equivalente en metros cuadrados de construcción</t>
  </si>
  <si>
    <t xml:space="preserve">Art 243.Usos del suelo permitidos por área de actividad- vivienda colectiva </t>
  </si>
  <si>
    <t>Art. 243 - Residencial Multifamiliar</t>
  </si>
  <si>
    <t>Edificaciones</t>
  </si>
  <si>
    <r>
      <t>Oficinas</t>
    </r>
    <r>
      <rPr>
        <sz val="7"/>
        <color theme="1"/>
        <rFont val="Calibri"/>
        <family val="2"/>
      </rPr>
      <t xml:space="preserve"> - Torre 5</t>
    </r>
  </si>
  <si>
    <r>
      <rPr>
        <sz val="10"/>
        <color rgb="FF000000"/>
        <rFont val="Calibri"/>
      </rPr>
      <t xml:space="preserve">Vivienda Estudiantil </t>
    </r>
    <r>
      <rPr>
        <sz val="7"/>
        <color rgb="FF000000"/>
        <rFont val="Calibri"/>
      </rPr>
      <t>- Torre 3</t>
    </r>
  </si>
  <si>
    <r>
      <t>Vivienda Interes Social</t>
    </r>
    <r>
      <rPr>
        <sz val="7"/>
        <color theme="1"/>
        <rFont val="Calibri"/>
        <family val="2"/>
      </rPr>
      <t xml:space="preserve"> - Torre 2 y 6</t>
    </r>
  </si>
  <si>
    <t>Art. 322  (Minimo 6%)</t>
  </si>
  <si>
    <r>
      <t>Vivienda ingresos medios</t>
    </r>
    <r>
      <rPr>
        <sz val="7"/>
        <color theme="1"/>
        <rFont val="Calibri"/>
        <family val="2"/>
      </rPr>
      <t xml:space="preserve"> - Torre 1 y 4</t>
    </r>
  </si>
  <si>
    <t>Sotanos</t>
  </si>
  <si>
    <t>Exigido</t>
  </si>
  <si>
    <t>Propuesto</t>
  </si>
  <si>
    <t>Art. 322. Obligación de destinar porciones de suelo a la construcción de vivienda de interés social o prioritario o su equivalente en metros cuadrados de construcción</t>
  </si>
  <si>
    <t>Obligación VIP</t>
  </si>
  <si>
    <t>Artículo 323. Alternativas para hacer efectivo el cumplimiento de la obligación de destinar porciones de suelo a la construcción de vivienda de interés social o prioritario o su equivalente en metros cuadrados de construcción.</t>
  </si>
  <si>
    <t>Areás totales por usos</t>
  </si>
  <si>
    <t>Art. 243 - Tipo 1 (450 mts)</t>
  </si>
  <si>
    <t>Art. 243 - Tipo 1 (100 mts)</t>
  </si>
  <si>
    <t>Oficinas</t>
  </si>
  <si>
    <t>Art. 243 - Tipo 1 (30 mts)</t>
  </si>
  <si>
    <t>Vivienda Interes Social - VIS</t>
  </si>
  <si>
    <t>Art. 322 ( Minimo 6%)</t>
  </si>
  <si>
    <t xml:space="preserve">Art. 322- Residencial Multifamiliar </t>
  </si>
  <si>
    <t>Indice de Construcción</t>
  </si>
  <si>
    <t>Art. 266 numeral 2 resultante de dividir el área construida sobre el área neta urbanizable</t>
  </si>
  <si>
    <t>Indice de Ocupación</t>
  </si>
  <si>
    <t>Resultante de aplicación de normas urbanísticas del anexo 5</t>
  </si>
  <si>
    <t>No. Pisos</t>
  </si>
  <si>
    <t>m² Unidades</t>
  </si>
  <si>
    <t xml:space="preserve">Mz1 - Mz2 Plataforma </t>
  </si>
  <si>
    <t>NA</t>
  </si>
  <si>
    <t>Circular 007 de 2022 numeral 3.2</t>
  </si>
  <si>
    <t>EQUIPAMIENTO COMUNAL PRIVADO</t>
  </si>
  <si>
    <t>% m2 exigidos sobre total construido</t>
  </si>
  <si>
    <t>m² Total exjido</t>
  </si>
  <si>
    <t>Zonas verdes</t>
  </si>
  <si>
    <t>Construido</t>
  </si>
  <si>
    <t>% m2 propuesto sobre total construido</t>
  </si>
  <si>
    <t>m² Total propuesto</t>
  </si>
  <si>
    <t>Terrazas (APAUP)</t>
  </si>
  <si>
    <t>Mz1 - Torre 1 / No VIS</t>
  </si>
  <si>
    <t>6.2 Anexo 5</t>
  </si>
  <si>
    <t>10 mts2 por cada 80 mts2 de área neta de
construcción en el uso.</t>
  </si>
  <si>
    <t>Mz1 - Torre 2 / VIS</t>
  </si>
  <si>
    <t>Hasta 150 viviendas: 6 mts2 por cada unidad de vivienda.
- Más de 150 viviendas: 8.5 mts2 por cada unidad de vivienda aplicable al número de
viviendas que exceda 150 viviendas.</t>
  </si>
  <si>
    <t xml:space="preserve">Mz1 - Torre 3 / Vivienda Estudiantil </t>
  </si>
  <si>
    <t xml:space="preserve"> 10 mts2 por cada 80 mts2 de área neta de
construcción en el uso.</t>
  </si>
  <si>
    <t>Mz2 - Torre 4 / No VIS</t>
  </si>
  <si>
    <t>10 mts2 por cada 80 mts2 de área neta de
construcción en el uso</t>
  </si>
  <si>
    <t>Mz2 - Torre 5 / Oficinas</t>
  </si>
  <si>
    <t>10 mts2 por cada 120 mts2 de área neta de
construcción en el uso.</t>
  </si>
  <si>
    <t>Mz2 - Torre 6 / VIS</t>
  </si>
  <si>
    <t>Más de 150 viviendas: 8.5 mts2 por cada unidad de vivienda aplicable al número de
viviendas que exceda 150 viviendas</t>
  </si>
  <si>
    <t>*Realizado con base en el formato ejercicio cargas del espacio academico cátedra taller de instrumentos de planificación realizado por la profesora Natalia Valencia Davila, 2022 (I a VII)</t>
  </si>
  <si>
    <t>**Realizado con base en el formato facilitado por el tutor Juan Carlos Borquez, 2022 (VIII a IX)</t>
  </si>
  <si>
    <t>REPARTO DE CARGAS</t>
  </si>
  <si>
    <t>I. CONFIGURACIÓN PREDIAL ACTUAL</t>
  </si>
  <si>
    <t>% de participación en el área total</t>
  </si>
  <si>
    <t>Valor inicial total (Vi)</t>
  </si>
  <si>
    <t>% de participación en el valor inicial total</t>
  </si>
  <si>
    <t>Valor inicial m²</t>
  </si>
  <si>
    <t>Estado politica de moradores</t>
  </si>
  <si>
    <t>Remplazo en Serv. Logisticos</t>
  </si>
  <si>
    <t>Remplazo en comercio</t>
  </si>
  <si>
    <t>Industriales activos</t>
  </si>
  <si>
    <t>Industriales inactivos</t>
  </si>
  <si>
    <t>Valor inicial calculado a partir del valor catastral aumentando el 20% para llegar al valor comercial</t>
  </si>
  <si>
    <t xml:space="preserve">Pago suelo condiciones politica de moradores </t>
  </si>
  <si>
    <t>Pago inmueble de reemplazo</t>
  </si>
  <si>
    <t>Industria activa (pago por traslado)</t>
  </si>
  <si>
    <t>Valor a pagar en efectivo por el suelo</t>
  </si>
  <si>
    <t>Comercio (reemplazo en proyecto)</t>
  </si>
  <si>
    <t>Valor a entregar en suelo en el proyecto, dinero que no se contempla en el total de ventas</t>
  </si>
  <si>
    <t>Logísticos e industria inactiva (reemplazo en proyecto)</t>
  </si>
  <si>
    <t>Valor total a pagar</t>
  </si>
  <si>
    <t>II. RESUMEN CUADRO DE ÁREAS</t>
  </si>
  <si>
    <t>m²</t>
  </si>
  <si>
    <t>%</t>
  </si>
  <si>
    <t>Área Neta Urbanizable - ANU</t>
  </si>
  <si>
    <t>% AU</t>
  </si>
  <si>
    <t>Área Útil (AU)</t>
  </si>
  <si>
    <t>Área Neta Urbanizable (ANU)</t>
  </si>
  <si>
    <t xml:space="preserve">m² construcción </t>
  </si>
  <si>
    <t>I.C (ANU)</t>
  </si>
  <si>
    <t>I.O (ANU)</t>
  </si>
  <si>
    <t>Área ocupada</t>
  </si>
  <si>
    <t>Pisos (prom)</t>
  </si>
  <si>
    <t>III. USOS Y EDIFICABILIDAD (m² construcción) POR UAU</t>
  </si>
  <si>
    <t>% Construccion</t>
  </si>
  <si>
    <t>m² Construccion</t>
  </si>
  <si>
    <t>IV. COSTOS CARGAS URBANÍSTICAS</t>
  </si>
  <si>
    <t>Cargas</t>
  </si>
  <si>
    <t>Valor m²</t>
  </si>
  <si>
    <t>m² Cargas</t>
  </si>
  <si>
    <t>Fuentes costos m²</t>
  </si>
  <si>
    <t>IDPC, Subdirección de Intervención y Protección del Patrimonio</t>
  </si>
  <si>
    <t>Construdata N° 201/2022</t>
  </si>
  <si>
    <t>Referente ejercicio cargas 2022*</t>
  </si>
  <si>
    <t>Valor de referencia de Mapas Bogotá - Fórmula aplicada del artículo 320 POT555</t>
  </si>
  <si>
    <t>Politica Moradores</t>
  </si>
  <si>
    <t>Compensación Arrendatarios</t>
  </si>
  <si>
    <t>$4.000.0000 lucro cesante por 6 meses para los 4 inmubles arrendados</t>
  </si>
  <si>
    <t>Lucro cesante propietarios</t>
  </si>
  <si>
    <t>$4.000.0000 lucro cesante por 12 meses para inmubles activos</t>
  </si>
  <si>
    <t>Inmuebles reemplazo industria activa</t>
  </si>
  <si>
    <t>Compensación por construcción</t>
  </si>
  <si>
    <t>Desmonte industrial</t>
  </si>
  <si>
    <t>Nuevos terrenos</t>
  </si>
  <si>
    <t>Plan Parcial Bavaria</t>
  </si>
  <si>
    <t>Valor promedio m² sobre el valor comercial de cada predio - Fórmula aplicada Artículo 323 POT 555</t>
  </si>
  <si>
    <t>% participación</t>
  </si>
  <si>
    <t>V. INGRESOS POR VENTAS DE PRODUCTOS INMOBILIARIOS</t>
  </si>
  <si>
    <t>m² Área de reemplazo</t>
  </si>
  <si>
    <t xml:space="preserve">Valor por m² </t>
  </si>
  <si>
    <t>m² Área Vendible</t>
  </si>
  <si>
    <t>Se restaron los m² de reemplazo</t>
  </si>
  <si>
    <t>INGRESOS POR VENTAS</t>
  </si>
  <si>
    <t>Fuentes precios m²</t>
  </si>
  <si>
    <t>Referente Concreta 2022</t>
  </si>
  <si>
    <t>Datos proyecto urbana 30 -  Constructora Bolivar, 2022</t>
  </si>
  <si>
    <t>Ley 1955 de 2019 Art. 85 / Decreto 1077 de 2015 Art. 2.1.9.1*</t>
  </si>
  <si>
    <t>Datos proyecto Torre Estación - Constructora Capital, 2022</t>
  </si>
  <si>
    <t>VI. COSTOS DIRECTOS DE CONSTRUCCIÓN</t>
  </si>
  <si>
    <t>Valor m² de construcción</t>
  </si>
  <si>
    <t>COSTOS DIRECTOS DE CONSTRUCCIÓN</t>
  </si>
  <si>
    <t>% sobre ventas</t>
  </si>
  <si>
    <t>Construdata N°201/2022</t>
  </si>
  <si>
    <t>VII. COSTOS INDIRECTOS DE CONSTRUCCIÓN</t>
  </si>
  <si>
    <r>
      <rPr>
        <b/>
        <sz val="10"/>
        <color rgb="FFFFFFFF"/>
        <rFont val="Calibri"/>
      </rPr>
      <t xml:space="preserve">% definido </t>
    </r>
    <r>
      <rPr>
        <sz val="8"/>
        <color rgb="FFFFFFFF"/>
        <rFont val="Calibri"/>
      </rPr>
      <t>sobre el total de ventas</t>
    </r>
  </si>
  <si>
    <t>COSTOS INDIRECTOS DE CONSTRUCCIÓN</t>
  </si>
  <si>
    <t xml:space="preserve">% participación suelo m² incial </t>
  </si>
  <si>
    <t>Beneficio por total ventas segun participación suelo m²</t>
  </si>
  <si>
    <t>% ingresos por ventas segun propuesta urbanistica</t>
  </si>
  <si>
    <t>Beneficio por por ventas segun propuesta urbanistica</t>
  </si>
  <si>
    <t>Diferencia a balancear %</t>
  </si>
  <si>
    <t>Diferencia a balancear $</t>
  </si>
  <si>
    <t>ANALISIS POR CARGAS</t>
  </si>
  <si>
    <t xml:space="preserve">% participación suelo m² inicial </t>
  </si>
  <si>
    <t>Cargas según % de participación suelo m²</t>
  </si>
  <si>
    <t>% carga propuesta urbanistica</t>
  </si>
  <si>
    <t>Cargas UAU propuesta propuesta urbanistica</t>
  </si>
  <si>
    <t xml:space="preserve">Uso de reemplazo adicional </t>
  </si>
  <si>
    <t>IX. BALANCE GENERAL DEL PLAN PARCIAL</t>
  </si>
  <si>
    <t>Utilidad</t>
  </si>
  <si>
    <t>Configuración predial actual</t>
  </si>
  <si>
    <t>Situación jurídica predios</t>
  </si>
  <si>
    <t>Cuadro Áreas</t>
  </si>
  <si>
    <t>Reparto Cargas</t>
  </si>
  <si>
    <t>TABLA DE CONTENIDO</t>
  </si>
  <si>
    <t>Valor total ingresos por ventas</t>
  </si>
  <si>
    <t>Costos directos de construcción</t>
  </si>
  <si>
    <t>Costos indirectos de costrucción</t>
  </si>
  <si>
    <t>Costos total cargas</t>
  </si>
  <si>
    <t>ALTERNATIVA DE REPARTO EQUITATIVO</t>
  </si>
  <si>
    <t>ANALISIS POR TOTAL VENTAS</t>
  </si>
  <si>
    <t>* Elaboración propia, información Certificados de Tradición y Libertad, junio 2022.</t>
  </si>
  <si>
    <t>*Elaboración propia, datos de las areas planteamiento urbanistico elaborado en Auto CAD (planos elaboración propia)</t>
  </si>
  <si>
    <t>VIII. REPARTO CARGAS</t>
  </si>
  <si>
    <t>Unidad única de Actuación Urbanística</t>
  </si>
  <si>
    <t>% de usos</t>
  </si>
  <si>
    <t>m² de usos</t>
  </si>
  <si>
    <t xml:space="preserve">% m² de reemplazo
adicional m²  </t>
  </si>
  <si>
    <t>m² cuadrados de
reemplazo adicionales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</si>
</sst>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[$$-240A]\ * #,##0.00_-;\-[$$-240A]\ * #,##0.00_-;_-[$$-240A]\ * &quot;-&quot;??_-;_-@_-"/>
    <numFmt numFmtId="166" formatCode="_-[$$-240A]\ * #,##0_-;\-[$$-240A]\ * #,##0_-;_-[$$-240A]\ * &quot;-&quot;??_-;_-@_-"/>
    <numFmt numFmtId="167" formatCode="0.0%"/>
    <numFmt numFmtId="168" formatCode="_-&quot;$&quot;* #,##0.00_-;\-&quot;$&quot;* #,##0.00_-;_-&quot;$&quot;* &quot;-&quot;??_-;_-@_-"/>
    <numFmt numFmtId="169" formatCode="_-&quot;$&quot;\ * #,##0_-;\-&quot;$&quot;\ * #,##0_-;_-&quot;$&quot;\ * &quot;-&quot;??_-;_-@_-"/>
    <numFmt numFmtId="170" formatCode="0.0"/>
  </numFmts>
  <fonts count="78" x14ac:knownFonts="1">
    <font>
      <sz val="11"/>
      <color theme="1"/>
      <name val="Calibri"/>
      <family val="2"/>
      <scheme val="minor"/>
    </font>
    <font>
      <b/>
      <sz val="10"/>
      <color rgb="FFFFFFFF"/>
      <name val="Calibri"/>
    </font>
    <font>
      <sz val="10"/>
      <color theme="1"/>
      <name val="Calibri"/>
    </font>
    <font>
      <b/>
      <sz val="10"/>
      <color theme="1"/>
      <name val="Calibri"/>
    </font>
    <font>
      <sz val="11"/>
      <color theme="1"/>
      <name val="Calibri"/>
      <family val="2"/>
      <scheme val="minor"/>
    </font>
    <font>
      <sz val="10"/>
      <color rgb="FFFFFFFF"/>
      <name val="Calibri"/>
    </font>
    <font>
      <sz val="11"/>
      <color rgb="FFFF0000"/>
      <name val="Calibri"/>
      <family val="2"/>
      <scheme val="minor"/>
    </font>
    <font>
      <sz val="8"/>
      <color theme="1"/>
      <name val="Calibri"/>
    </font>
    <font>
      <sz val="9"/>
      <color theme="1"/>
      <name val="Calibri"/>
    </font>
    <font>
      <sz val="10"/>
      <color rgb="FF000000"/>
      <name val="Calibri"/>
    </font>
    <font>
      <b/>
      <sz val="10"/>
      <color rgb="FFBFBFBF"/>
      <name val="Calibri"/>
    </font>
    <font>
      <sz val="9"/>
      <color theme="1"/>
      <name val="Calibri"/>
      <family val="2"/>
    </font>
    <font>
      <b/>
      <sz val="10"/>
      <color rgb="FF000000"/>
      <name val="Calibri"/>
    </font>
    <font>
      <sz val="12"/>
      <color rgb="FF000000"/>
      <name val="Calibri"/>
    </font>
    <font>
      <sz val="10"/>
      <name val="Calibri"/>
      <family val="2"/>
    </font>
    <font>
      <b/>
      <sz val="10"/>
      <color theme="0"/>
      <name val="Calibri"/>
      <family val="2"/>
    </font>
    <font>
      <b/>
      <sz val="8"/>
      <color rgb="FFFFFFFF"/>
      <name val="Calibri"/>
    </font>
    <font>
      <sz val="8"/>
      <color rgb="FF000000"/>
      <name val="Calibri"/>
    </font>
    <font>
      <sz val="9"/>
      <color theme="1"/>
      <name val="Calibri"/>
      <family val="2"/>
      <scheme val="minor"/>
    </font>
    <font>
      <b/>
      <sz val="9"/>
      <color rgb="FFFFFFFF"/>
      <name val="Calibri"/>
    </font>
    <font>
      <sz val="9"/>
      <color rgb="FF000000"/>
      <name val="Calibri"/>
    </font>
    <font>
      <sz val="9"/>
      <color rgb="FFFFFFFF"/>
      <name val="Calibri"/>
    </font>
    <font>
      <sz val="10"/>
      <color theme="1"/>
      <name val="Calibri"/>
      <family val="2"/>
      <scheme val="minor"/>
    </font>
    <font>
      <sz val="9"/>
      <color rgb="FF595959"/>
      <name val="Calibri"/>
    </font>
    <font>
      <sz val="12"/>
      <color rgb="FF000000"/>
      <name val="Times"/>
      <charset val="1"/>
    </font>
    <font>
      <sz val="12"/>
      <color rgb="FF000000"/>
      <name val="Times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9"/>
      <color rgb="FF595959"/>
      <name val="Calibri"/>
      <family val="2"/>
    </font>
    <font>
      <b/>
      <sz val="9"/>
      <color rgb="FFFFFFFF"/>
      <name val="Calibri"/>
      <family val="2"/>
    </font>
    <font>
      <sz val="9"/>
      <color theme="1" tint="0.34998626667073579"/>
      <name val="Calibri"/>
      <family val="2"/>
    </font>
    <font>
      <sz val="9"/>
      <color theme="1" tint="0.499984740745262"/>
      <name val="Calibri"/>
      <family val="2"/>
      <scheme val="minor"/>
    </font>
    <font>
      <sz val="7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b/>
      <sz val="10"/>
      <color rgb="FFFFFFFF"/>
      <name val="Calibri"/>
      <family val="2"/>
    </font>
    <font>
      <sz val="7"/>
      <color rgb="FF000000"/>
      <name val="Calibri"/>
    </font>
    <font>
      <sz val="7"/>
      <color rgb="FF595959"/>
      <name val="Calibri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595959"/>
      <name val="Calibri"/>
      <family val="2"/>
    </font>
    <font>
      <b/>
      <sz val="12"/>
      <color rgb="FFFFFFFF"/>
      <name val="Calibri"/>
      <family val="2"/>
    </font>
    <font>
      <b/>
      <sz val="72"/>
      <color theme="1"/>
      <name val="Calibri"/>
      <family val="2"/>
    </font>
    <font>
      <b/>
      <sz val="60"/>
      <color theme="0"/>
      <name val="Calibri"/>
      <family val="2"/>
    </font>
    <font>
      <sz val="60"/>
      <color theme="1"/>
      <name val="Calibri"/>
      <family val="2"/>
    </font>
    <font>
      <sz val="50"/>
      <color theme="1"/>
      <name val="Calibri"/>
      <family val="2"/>
    </font>
    <font>
      <sz val="46"/>
      <color theme="1"/>
      <name val="Calibri"/>
      <family val="2"/>
    </font>
    <font>
      <sz val="14"/>
      <color theme="1"/>
      <name val="Calibri"/>
      <family val="2"/>
    </font>
    <font>
      <sz val="72"/>
      <color theme="1"/>
      <name val="Calibri"/>
      <family val="2"/>
    </font>
    <font>
      <sz val="45"/>
      <color theme="1"/>
      <name val="Calibri"/>
      <family val="2"/>
    </font>
    <font>
      <sz val="8"/>
      <color rgb="FFFF0000"/>
      <name val="Calibri"/>
    </font>
    <font>
      <sz val="9"/>
      <color rgb="FF000000"/>
      <name val="Calibri"/>
      <family val="2"/>
      <scheme val="minor"/>
    </font>
    <font>
      <b/>
      <sz val="11"/>
      <color rgb="FF000000"/>
      <name val="Calibri"/>
    </font>
    <font>
      <b/>
      <sz val="11"/>
      <color rgb="FFFFFF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2"/>
      <color rgb="FF000000"/>
      <name val="Calibri"/>
    </font>
    <font>
      <b/>
      <sz val="10"/>
      <color theme="1"/>
      <name val="Calibri"/>
      <family val="2"/>
    </font>
    <font>
      <sz val="12"/>
      <color rgb="FF000000"/>
      <name val="Calibri"/>
      <family val="2"/>
      <scheme val="minor"/>
    </font>
    <font>
      <b/>
      <sz val="14"/>
      <color rgb="FF000000"/>
      <name val="Calibri"/>
    </font>
    <font>
      <sz val="14"/>
      <color theme="1"/>
      <name val="Calibri"/>
      <family val="2"/>
      <scheme val="minor"/>
    </font>
    <font>
      <b/>
      <sz val="9"/>
      <color theme="1" tint="0.499984740745262"/>
      <name val="Calibri"/>
      <family val="2"/>
      <scheme val="minor"/>
    </font>
    <font>
      <sz val="9"/>
      <color rgb="FF808080"/>
      <name val="Calibri"/>
    </font>
    <font>
      <sz val="8"/>
      <color rgb="FFFFFFFF"/>
      <name val="Calibri"/>
    </font>
    <font>
      <sz val="9"/>
      <color rgb="FFBFBFBF"/>
      <name val="Calibri"/>
      <family val="2"/>
      <scheme val="minor"/>
    </font>
    <font>
      <b/>
      <sz val="10"/>
      <name val="Calibri"/>
      <family val="2"/>
    </font>
    <font>
      <sz val="8"/>
      <color rgb="FFA6A6A6"/>
      <name val="Calibri"/>
      <family val="2"/>
      <scheme val="minor"/>
    </font>
    <font>
      <sz val="10"/>
      <color rgb="FFC00000"/>
      <name val="Calibri"/>
      <family val="2"/>
      <scheme val="minor"/>
    </font>
    <font>
      <b/>
      <vertAlign val="superscript"/>
      <sz val="10"/>
      <color rgb="FF000000"/>
      <name val="Calibri"/>
      <family val="2"/>
    </font>
    <font>
      <vertAlign val="superscript"/>
      <sz val="10"/>
      <color rgb="FF000000"/>
      <name val="Calibri"/>
      <family val="2"/>
    </font>
    <font>
      <b/>
      <sz val="10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20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FFFF"/>
      <name val="Calibri"/>
      <family val="2"/>
    </font>
  </fonts>
  <fills count="5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44546A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375623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6E6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rgb="FFF8E8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3F4F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A53E4F"/>
        <bgColor indexed="64"/>
      </patternFill>
    </fill>
    <fill>
      <patternFill patternType="solid">
        <fgColor rgb="FFFFA939"/>
        <bgColor indexed="64"/>
      </patternFill>
    </fill>
    <fill>
      <patternFill patternType="solid">
        <fgColor rgb="FFFFC77D"/>
        <bgColor indexed="64"/>
      </patternFill>
    </fill>
    <fill>
      <patternFill patternType="solid">
        <fgColor rgb="FFFFE0B7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EDD5"/>
        <bgColor indexed="64"/>
      </patternFill>
    </fill>
    <fill>
      <patternFill patternType="solid">
        <fgColor rgb="FFE8C2C8"/>
        <bgColor indexed="64"/>
      </patternFill>
    </fill>
    <fill>
      <patternFill patternType="solid">
        <fgColor rgb="FFE4E9F0"/>
        <bgColor indexed="64"/>
      </patternFill>
    </fill>
    <fill>
      <patternFill patternType="solid">
        <fgColor rgb="FFFFF4E6"/>
        <bgColor indexed="64"/>
      </patternFill>
    </fill>
    <fill>
      <patternFill patternType="solid">
        <fgColor rgb="FFFFB95E"/>
        <bgColor indexed="64"/>
      </patternFill>
    </fill>
    <fill>
      <patternFill patternType="solid">
        <fgColor rgb="FFBF6B79"/>
        <bgColor indexed="64"/>
      </patternFill>
    </fill>
    <fill>
      <patternFill patternType="solid">
        <fgColor rgb="FFFFF2E1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DCF2F7"/>
        <bgColor indexed="64"/>
      </patternFill>
    </fill>
    <fill>
      <patternFill patternType="solid">
        <fgColor rgb="FFEEF2E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AAAA"/>
        <bgColor indexed="64"/>
      </patternFill>
    </fill>
  </fills>
  <borders count="144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medium">
        <color rgb="FF808080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ck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 style="thin">
        <color theme="0"/>
      </top>
      <bottom/>
      <diagonal/>
    </border>
    <border>
      <left style="thin">
        <color rgb="FFFFFFFF"/>
      </left>
      <right style="thin">
        <color rgb="FFFFFFFF"/>
      </right>
      <top style="thin">
        <color theme="0"/>
      </top>
      <bottom/>
      <diagonal/>
    </border>
    <border>
      <left style="thin">
        <color rgb="FFFFFFFF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theme="0"/>
      </right>
      <top/>
      <bottom style="thin">
        <color rgb="FFFFFFFF"/>
      </bottom>
      <diagonal/>
    </border>
    <border>
      <left style="thin">
        <color rgb="FFFFFFFF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 style="thin">
        <color rgb="FF00000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rgb="FF000000"/>
      </bottom>
      <diagonal/>
    </border>
    <border>
      <left/>
      <right/>
      <top style="thin">
        <color theme="0"/>
      </top>
      <bottom style="thin">
        <color rgb="FF000000"/>
      </bottom>
      <diagonal/>
    </border>
    <border>
      <left/>
      <right style="thin">
        <color theme="0"/>
      </right>
      <top style="thin">
        <color theme="0"/>
      </top>
      <bottom style="thin">
        <color rgb="FF000000"/>
      </bottom>
      <diagonal/>
    </border>
    <border>
      <left/>
      <right style="thin">
        <color rgb="FFFFFFFF"/>
      </right>
      <top style="thin">
        <color rgb="FFFFFFFF"/>
      </top>
      <bottom style="medium">
        <color theme="0"/>
      </bottom>
      <diagonal/>
    </border>
    <border>
      <left/>
      <right style="thin">
        <color rgb="FFFFFFFF"/>
      </right>
      <top style="medium">
        <color theme="0"/>
      </top>
      <bottom style="medium">
        <color theme="0"/>
      </bottom>
      <diagonal/>
    </border>
    <border>
      <left/>
      <right style="thin">
        <color rgb="FFFFFFFF"/>
      </right>
      <top style="medium">
        <color theme="0"/>
      </top>
      <bottom style="thin">
        <color rgb="FFFFFFFF"/>
      </bottom>
      <diagonal/>
    </border>
    <border>
      <left style="thin">
        <color rgb="FFFFFFFF"/>
      </left>
      <right style="medium">
        <color theme="0" tint="-0.24994659260841701"/>
      </right>
      <top style="thin">
        <color rgb="FFFFFFFF"/>
      </top>
      <bottom style="medium">
        <color theme="0"/>
      </bottom>
      <diagonal/>
    </border>
    <border>
      <left style="thin">
        <color rgb="FFFFFFFF"/>
      </left>
      <right style="medium">
        <color theme="0" tint="-0.24994659260841701"/>
      </right>
      <top style="medium">
        <color theme="0"/>
      </top>
      <bottom style="medium">
        <color theme="0"/>
      </bottom>
      <diagonal/>
    </border>
    <border>
      <left style="thin">
        <color rgb="FFFFFFFF"/>
      </left>
      <right style="medium">
        <color theme="0" tint="-0.24994659260841701"/>
      </right>
      <top style="medium">
        <color theme="0"/>
      </top>
      <bottom style="thin">
        <color rgb="FFFFFFFF"/>
      </bottom>
      <diagonal/>
    </border>
    <border>
      <left style="thin">
        <color rgb="FFFFFFFF"/>
      </left>
      <right style="thin">
        <color theme="0"/>
      </right>
      <top style="thin">
        <color rgb="FFFFFFFF"/>
      </top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rgb="FFFFFFFF"/>
      </left>
      <right/>
      <top style="thin">
        <color theme="0"/>
      </top>
      <bottom/>
      <diagonal/>
    </border>
    <border>
      <left style="thin">
        <color theme="0"/>
      </left>
      <right style="thin">
        <color rgb="FFFFFFFF"/>
      </right>
      <top/>
      <bottom style="thin">
        <color rgb="FFFFFFFF"/>
      </bottom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theme="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theme="0"/>
      </bottom>
      <diagonal/>
    </border>
    <border>
      <left style="thin">
        <color rgb="FFFFFFFF"/>
      </left>
      <right style="thin">
        <color theme="0"/>
      </right>
      <top style="thin">
        <color rgb="FFFFFFFF"/>
      </top>
      <bottom style="thin">
        <color theme="0"/>
      </bottom>
      <diagonal/>
    </border>
    <border>
      <left style="thin">
        <color rgb="FFFFFFFF"/>
      </left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medium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theme="0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auto="1"/>
      </top>
      <bottom/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rgb="FFFFFFFF"/>
      </bottom>
      <diagonal/>
    </border>
    <border>
      <left style="thin">
        <color theme="0"/>
      </left>
      <right style="thick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ck">
        <color theme="0"/>
      </right>
      <top style="thin">
        <color rgb="FFFFFFFF"/>
      </top>
      <bottom style="thin">
        <color theme="0"/>
      </bottom>
      <diagonal/>
    </border>
    <border>
      <left style="thin">
        <color rgb="FFFFFFFF"/>
      </left>
      <right style="thick">
        <color theme="0"/>
      </right>
      <top style="thin">
        <color rgb="FFFFFFFF"/>
      </top>
      <bottom/>
      <diagonal/>
    </border>
    <border>
      <left style="thin">
        <color theme="0"/>
      </left>
      <right style="thick">
        <color theme="0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FFFFFF"/>
      </left>
      <right style="thin">
        <color rgb="FFFFFFFF"/>
      </right>
      <top style="medium">
        <color theme="0"/>
      </top>
      <bottom/>
      <diagonal/>
    </border>
    <border>
      <left style="thin">
        <color rgb="FFFFFFFF"/>
      </left>
      <right style="thick">
        <color theme="0"/>
      </right>
      <top style="medium">
        <color theme="0"/>
      </top>
      <bottom/>
      <diagonal/>
    </border>
    <border>
      <left style="thin">
        <color theme="0"/>
      </left>
      <right style="thick">
        <color theme="0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BFBFBF"/>
      </top>
      <bottom style="thin">
        <color rgb="FFFFFFFF"/>
      </bottom>
      <diagonal/>
    </border>
    <border>
      <left style="medium">
        <color theme="0"/>
      </left>
      <right style="thin">
        <color rgb="FFFFFFFF"/>
      </right>
      <top style="thin">
        <color rgb="FFFFFFFF"/>
      </top>
      <bottom/>
      <diagonal/>
    </border>
    <border>
      <left style="thick">
        <color theme="0"/>
      </left>
      <right style="thin">
        <color rgb="FFFFFFFF"/>
      </right>
      <top style="thin">
        <color rgb="FFFFFFFF"/>
      </top>
      <bottom/>
      <diagonal/>
    </border>
    <border>
      <left style="thick">
        <color theme="0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theme="0" tint="-0.24994659260841701"/>
      </left>
      <right style="medium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auto="1"/>
      </left>
      <right style="thin">
        <color auto="1"/>
      </right>
      <top style="thin">
        <color theme="0" tint="-0.2499465926084170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thick">
        <color auto="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ck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auto="1"/>
      </bottom>
      <diagonal/>
    </border>
    <border>
      <left/>
      <right style="thin">
        <color auto="1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/>
      <right style="thin">
        <color auto="1"/>
      </right>
      <top style="thin">
        <color theme="0" tint="-0.24994659260841701"/>
      </top>
      <bottom/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medium">
        <color auto="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medium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theme="0" tint="-0.24994659260841701"/>
      </right>
      <top style="medium">
        <color auto="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auto="1"/>
      </top>
      <bottom/>
      <diagonal/>
    </border>
    <border>
      <left/>
      <right style="thin">
        <color auto="1"/>
      </right>
      <top style="thin">
        <color theme="0" tint="-0.2499465926084170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medium">
        <color auto="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auto="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/>
      <top style="thin">
        <color auto="1"/>
      </top>
      <bottom style="thin">
        <color theme="0"/>
      </bottom>
      <diagonal/>
    </border>
    <border>
      <left/>
      <right/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rgb="FFFFFFFF"/>
      </right>
      <top style="thin">
        <color theme="0"/>
      </top>
      <bottom/>
      <diagonal/>
    </border>
    <border>
      <left style="thin">
        <color rgb="FFFFFFFF"/>
      </left>
      <right style="medium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medium">
        <color rgb="FF808080"/>
      </top>
      <bottom/>
      <diagonal/>
    </border>
    <border>
      <left style="thin">
        <color rgb="FFFFFFFF"/>
      </left>
      <right style="thin">
        <color theme="0"/>
      </right>
      <top style="thin">
        <color rgb="FFFFFFFF"/>
      </top>
      <bottom style="medium">
        <color rgb="FF808080"/>
      </bottom>
      <diagonal/>
    </border>
    <border>
      <left style="thin">
        <color rgb="FFFFFFFF"/>
      </left>
      <right style="thin">
        <color theme="0"/>
      </right>
      <top/>
      <bottom style="medium">
        <color rgb="FF808080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medium">
        <color theme="0"/>
      </left>
      <right/>
      <top/>
      <bottom style="thin">
        <color rgb="FFFFFFFF"/>
      </bottom>
      <diagonal/>
    </border>
    <border>
      <left style="thin">
        <color theme="0"/>
      </left>
      <right style="thin">
        <color rgb="FFFFFFFF"/>
      </right>
      <top style="thin">
        <color rgb="FFBFBFBF"/>
      </top>
      <bottom/>
      <diagonal/>
    </border>
    <border>
      <left style="thin">
        <color rgb="FFFFFFFF"/>
      </left>
      <right style="thin">
        <color theme="0"/>
      </right>
      <top style="thin">
        <color rgb="FFBFBFBF"/>
      </top>
      <bottom style="thin">
        <color rgb="FFFFFFFF"/>
      </bottom>
      <diagonal/>
    </border>
    <border>
      <left style="thick">
        <color theme="0"/>
      </left>
      <right/>
      <top style="thin">
        <color theme="0"/>
      </top>
      <bottom style="thin">
        <color rgb="FFFFFFFF"/>
      </bottom>
      <diagonal/>
    </border>
    <border>
      <left/>
      <right/>
      <top style="thin">
        <color theme="0"/>
      </top>
      <bottom style="thin">
        <color rgb="FFFFFFFF"/>
      </bottom>
      <diagonal/>
    </border>
    <border>
      <left style="medium">
        <color rgb="FFFFFFFF"/>
      </left>
      <right style="thin">
        <color rgb="FFFFFFFF"/>
      </right>
      <top/>
      <bottom style="thin">
        <color rgb="FFFFFFFF"/>
      </bottom>
      <diagonal/>
    </border>
    <border>
      <left style="medium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FFFFFF"/>
      </left>
      <right style="thin">
        <color rgb="FFFFFFFF"/>
      </right>
      <top style="thin">
        <color rgb="FFFFFFFF"/>
      </top>
      <bottom style="thin">
        <color theme="0"/>
      </bottom>
      <diagonal/>
    </border>
    <border>
      <left style="medium">
        <color rgb="FFFFFFFF"/>
      </left>
      <right style="thin">
        <color rgb="FFFFFFFF"/>
      </right>
      <top style="thin">
        <color theme="0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theme="0"/>
      </bottom>
      <diagonal/>
    </border>
    <border>
      <left/>
      <right style="medium">
        <color rgb="FFFFFFFF"/>
      </right>
      <top style="thin">
        <color theme="0"/>
      </top>
      <bottom style="thin">
        <color rgb="FFFFFFFF"/>
      </bottom>
      <diagonal/>
    </border>
    <border>
      <left style="thick">
        <color theme="0"/>
      </left>
      <right/>
      <top style="thin">
        <color rgb="FFFFFFFF"/>
      </top>
      <bottom style="thin">
        <color rgb="FFFFFFFF"/>
      </bottom>
      <diagonal/>
    </border>
    <border>
      <left/>
      <right style="medium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FFFFFF"/>
      </left>
      <right style="thin">
        <color rgb="FFFFFFFF"/>
      </right>
      <top style="thin">
        <color rgb="FFFFFFFF"/>
      </top>
      <bottom/>
      <diagonal/>
    </border>
    <border>
      <left style="medium">
        <color rgb="FFFFFFFF"/>
      </left>
      <right style="thin">
        <color rgb="FFFFFFFF"/>
      </right>
      <top style="thin">
        <color auto="1"/>
      </top>
      <bottom/>
      <diagonal/>
    </border>
    <border>
      <left style="medium">
        <color rgb="FFFFFFFF"/>
      </left>
      <right style="thin">
        <color rgb="FFFFFFFF"/>
      </right>
      <top style="medium">
        <color theme="0"/>
      </top>
      <bottom/>
      <diagonal/>
    </border>
    <border>
      <left style="thin">
        <color rgb="FFFFFFFF"/>
      </left>
      <right/>
      <top style="thin">
        <color auto="1"/>
      </top>
      <bottom/>
      <diagonal/>
    </border>
    <border>
      <left style="thin">
        <color rgb="FFFFFFFF"/>
      </left>
      <right/>
      <top style="medium">
        <color theme="0"/>
      </top>
      <bottom/>
      <diagonal/>
    </border>
    <border>
      <left style="medium">
        <color theme="0"/>
      </left>
      <right/>
      <top style="thin">
        <color rgb="FFFFFFFF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ck">
        <color rgb="FFFFFFFF"/>
      </right>
      <top style="thin">
        <color rgb="FFFFFFFF"/>
      </top>
      <bottom style="thin">
        <color rgb="FFFFFFFF"/>
      </bottom>
      <diagonal/>
    </border>
    <border>
      <left style="thick">
        <color rgb="FFFFFFFF"/>
      </left>
      <right/>
      <top style="thin">
        <color rgb="FFFFFFFF"/>
      </top>
      <bottom style="thin">
        <color rgb="FFFFFFFF"/>
      </bottom>
      <diagonal/>
    </border>
    <border>
      <left style="medium">
        <color theme="0"/>
      </left>
      <right style="medium">
        <color theme="0"/>
      </right>
      <top style="thin">
        <color rgb="FFFFFFFF"/>
      </top>
      <bottom/>
      <diagonal/>
    </border>
    <border>
      <left style="medium">
        <color theme="0"/>
      </left>
      <right style="medium">
        <color theme="0"/>
      </right>
      <top/>
      <bottom style="thin">
        <color rgb="FFFFFFFF"/>
      </bottom>
      <diagonal/>
    </border>
    <border>
      <left style="thin">
        <color theme="0"/>
      </left>
      <right/>
      <top style="thin">
        <color theme="0"/>
      </top>
      <bottom style="thin">
        <color auto="1"/>
      </bottom>
      <diagonal/>
    </border>
    <border>
      <left/>
      <right/>
      <top style="thin">
        <color rgb="FFFFFFFF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rgb="FFFFFFFF"/>
      </right>
      <top style="medium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ck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ck">
        <color rgb="FFFFFFFF"/>
      </top>
      <bottom style="thick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medium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theme="0" tint="-0.34998626667073579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theme="0" tint="-0.34998626667073579"/>
      </bottom>
      <diagonal/>
    </border>
  </borders>
  <cellStyleXfs count="13">
    <xf numFmtId="0" fontId="0" fillId="0" borderId="0"/>
    <xf numFmtId="9" fontId="4" fillId="0" borderId="0" applyFont="0" applyFill="0" applyBorder="0" applyAlignment="0" applyProtection="0"/>
    <xf numFmtId="0" fontId="40" fillId="0" borderId="0"/>
    <xf numFmtId="9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4" fillId="0" borderId="0"/>
    <xf numFmtId="41" fontId="40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3" fillId="0" borderId="0" applyNumberFormat="0" applyFill="0" applyBorder="0" applyAlignment="0" applyProtection="0"/>
  </cellStyleXfs>
  <cellXfs count="700">
    <xf numFmtId="0" fontId="0" fillId="0" borderId="0" xfId="0"/>
    <xf numFmtId="0" fontId="1" fillId="2" borderId="0" xfId="0" applyFont="1" applyFill="1" applyAlignment="1">
      <alignment horizontal="center" vertical="center" readingOrder="1"/>
    </xf>
    <xf numFmtId="3" fontId="1" fillId="2" borderId="0" xfId="0" applyNumberFormat="1" applyFont="1" applyFill="1" applyAlignment="1">
      <alignment horizontal="center" vertical="center" readingOrder="1"/>
    </xf>
    <xf numFmtId="166" fontId="1" fillId="2" borderId="0" xfId="0" applyNumberFormat="1" applyFont="1" applyFill="1" applyAlignment="1">
      <alignment horizontal="center" vertical="center" readingOrder="1"/>
    </xf>
    <xf numFmtId="0" fontId="2" fillId="2" borderId="0" xfId="0" applyFont="1" applyFill="1" applyAlignment="1">
      <alignment vertical="center"/>
    </xf>
    <xf numFmtId="9" fontId="2" fillId="2" borderId="0" xfId="0" applyNumberFormat="1" applyFont="1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 readingOrder="1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wrapText="1"/>
    </xf>
    <xf numFmtId="0" fontId="6" fillId="2" borderId="0" xfId="0" applyFont="1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 wrapText="1"/>
    </xf>
    <xf numFmtId="0" fontId="1" fillId="3" borderId="2" xfId="0" applyFont="1" applyFill="1" applyBorder="1" applyAlignment="1">
      <alignment horizontal="center" vertical="center" readingOrder="1"/>
    </xf>
    <xf numFmtId="0" fontId="2" fillId="7" borderId="3" xfId="0" applyFont="1" applyFill="1" applyBorder="1" applyAlignment="1">
      <alignment horizontal="center" vertical="center" readingOrder="1"/>
    </xf>
    <xf numFmtId="0" fontId="2" fillId="7" borderId="5" xfId="0" applyFont="1" applyFill="1" applyBorder="1" applyAlignment="1">
      <alignment horizontal="center" vertical="center" readingOrder="1"/>
    </xf>
    <xf numFmtId="0" fontId="11" fillId="15" borderId="5" xfId="0" applyFont="1" applyFill="1" applyBorder="1" applyAlignment="1">
      <alignment horizontal="left" vertical="center" wrapText="1" readingOrder="1"/>
    </xf>
    <xf numFmtId="0" fontId="11" fillId="15" borderId="5" xfId="0" applyFont="1" applyFill="1" applyBorder="1" applyAlignment="1">
      <alignment horizontal="left" vertical="center" readingOrder="1"/>
    </xf>
    <xf numFmtId="0" fontId="2" fillId="7" borderId="7" xfId="0" applyFont="1" applyFill="1" applyBorder="1" applyAlignment="1">
      <alignment horizontal="center" vertical="center" readingOrder="1"/>
    </xf>
    <xf numFmtId="4" fontId="2" fillId="6" borderId="3" xfId="0" applyNumberFormat="1" applyFont="1" applyFill="1" applyBorder="1" applyAlignment="1">
      <alignment horizontal="center" vertical="center" readingOrder="1"/>
    </xf>
    <xf numFmtId="3" fontId="2" fillId="7" borderId="3" xfId="0" applyNumberFormat="1" applyFont="1" applyFill="1" applyBorder="1" applyAlignment="1">
      <alignment horizontal="center" vertical="center" readingOrder="1"/>
    </xf>
    <xf numFmtId="2" fontId="2" fillId="7" borderId="3" xfId="0" applyNumberFormat="1" applyFont="1" applyFill="1" applyBorder="1" applyAlignment="1">
      <alignment horizontal="center" vertical="center" readingOrder="1"/>
    </xf>
    <xf numFmtId="166" fontId="2" fillId="7" borderId="3" xfId="0" applyNumberFormat="1" applyFont="1" applyFill="1" applyBorder="1" applyAlignment="1">
      <alignment horizontal="center" vertical="center" readingOrder="1"/>
    </xf>
    <xf numFmtId="166" fontId="2" fillId="9" borderId="3" xfId="0" applyNumberFormat="1" applyFont="1" applyFill="1" applyBorder="1" applyAlignment="1">
      <alignment horizontal="center" vertical="center" readingOrder="1"/>
    </xf>
    <xf numFmtId="4" fontId="2" fillId="6" borderId="5" xfId="0" applyNumberFormat="1" applyFont="1" applyFill="1" applyBorder="1" applyAlignment="1">
      <alignment horizontal="center" vertical="center" readingOrder="1"/>
    </xf>
    <xf numFmtId="3" fontId="2" fillId="7" borderId="5" xfId="0" applyNumberFormat="1" applyFont="1" applyFill="1" applyBorder="1" applyAlignment="1">
      <alignment horizontal="center" vertical="center" readingOrder="1"/>
    </xf>
    <xf numFmtId="166" fontId="2" fillId="7" borderId="5" xfId="0" applyNumberFormat="1" applyFont="1" applyFill="1" applyBorder="1" applyAlignment="1">
      <alignment horizontal="center" vertical="center" readingOrder="1"/>
    </xf>
    <xf numFmtId="166" fontId="2" fillId="9" borderId="5" xfId="0" applyNumberFormat="1" applyFont="1" applyFill="1" applyBorder="1" applyAlignment="1">
      <alignment horizontal="center" vertical="center" readingOrder="1"/>
    </xf>
    <xf numFmtId="4" fontId="2" fillId="6" borderId="7" xfId="0" applyNumberFormat="1" applyFont="1" applyFill="1" applyBorder="1" applyAlignment="1">
      <alignment horizontal="center" vertical="center" readingOrder="1"/>
    </xf>
    <xf numFmtId="4" fontId="2" fillId="6" borderId="2" xfId="0" applyNumberFormat="1" applyFont="1" applyFill="1" applyBorder="1" applyAlignment="1">
      <alignment horizontal="center" vertical="center" readingOrder="1"/>
    </xf>
    <xf numFmtId="3" fontId="2" fillId="7" borderId="7" xfId="0" applyNumberFormat="1" applyFont="1" applyFill="1" applyBorder="1" applyAlignment="1">
      <alignment horizontal="center" vertical="center" readingOrder="1"/>
    </xf>
    <xf numFmtId="2" fontId="2" fillId="7" borderId="2" xfId="0" applyNumberFormat="1" applyFont="1" applyFill="1" applyBorder="1" applyAlignment="1">
      <alignment horizontal="center" vertical="center" readingOrder="1"/>
    </xf>
    <xf numFmtId="166" fontId="2" fillId="7" borderId="7" xfId="0" applyNumberFormat="1" applyFont="1" applyFill="1" applyBorder="1" applyAlignment="1">
      <alignment horizontal="center" vertical="center" readingOrder="1"/>
    </xf>
    <xf numFmtId="166" fontId="2" fillId="9" borderId="7" xfId="0" applyNumberFormat="1" applyFont="1" applyFill="1" applyBorder="1" applyAlignment="1">
      <alignment horizontal="center" vertical="center" readingOrder="1"/>
    </xf>
    <xf numFmtId="0" fontId="2" fillId="7" borderId="11" xfId="0" applyFont="1" applyFill="1" applyBorder="1" applyAlignment="1">
      <alignment horizontal="center" vertical="center" readingOrder="1"/>
    </xf>
    <xf numFmtId="166" fontId="2" fillId="7" borderId="11" xfId="0" applyNumberFormat="1" applyFont="1" applyFill="1" applyBorder="1" applyAlignment="1">
      <alignment horizontal="center" vertical="center" readingOrder="1"/>
    </xf>
    <xf numFmtId="166" fontId="2" fillId="9" borderId="11" xfId="0" applyNumberFormat="1" applyFont="1" applyFill="1" applyBorder="1" applyAlignment="1">
      <alignment horizontal="center" vertical="center" readingOrder="1"/>
    </xf>
    <xf numFmtId="166" fontId="2" fillId="15" borderId="3" xfId="0" applyNumberFormat="1" applyFont="1" applyFill="1" applyBorder="1" applyAlignment="1">
      <alignment horizontal="center" vertical="center" readingOrder="1"/>
    </xf>
    <xf numFmtId="166" fontId="2" fillId="15" borderId="5" xfId="0" applyNumberFormat="1" applyFont="1" applyFill="1" applyBorder="1" applyAlignment="1">
      <alignment horizontal="center" vertical="center" readingOrder="1"/>
    </xf>
    <xf numFmtId="166" fontId="2" fillId="15" borderId="7" xfId="0" applyNumberFormat="1" applyFont="1" applyFill="1" applyBorder="1" applyAlignment="1">
      <alignment horizontal="center" vertical="center" readingOrder="1"/>
    </xf>
    <xf numFmtId="166" fontId="2" fillId="15" borderId="11" xfId="0" applyNumberFormat="1" applyFont="1" applyFill="1" applyBorder="1" applyAlignment="1">
      <alignment horizontal="center" vertical="center" readingOrder="1"/>
    </xf>
    <xf numFmtId="0" fontId="1" fillId="19" borderId="2" xfId="0" applyFont="1" applyFill="1" applyBorder="1" applyAlignment="1">
      <alignment horizontal="center" vertical="center" readingOrder="1"/>
    </xf>
    <xf numFmtId="0" fontId="8" fillId="13" borderId="5" xfId="0" applyFont="1" applyFill="1" applyBorder="1" applyAlignment="1">
      <alignment horizontal="left" vertical="center" readingOrder="1"/>
    </xf>
    <xf numFmtId="0" fontId="2" fillId="7" borderId="12" xfId="0" applyFont="1" applyFill="1" applyBorder="1" applyAlignment="1">
      <alignment horizontal="center" vertical="center" readingOrder="1"/>
    </xf>
    <xf numFmtId="9" fontId="2" fillId="15" borderId="5" xfId="0" applyNumberFormat="1" applyFont="1" applyFill="1" applyBorder="1" applyAlignment="1">
      <alignment horizontal="center" vertical="center" readingOrder="1"/>
    </xf>
    <xf numFmtId="0" fontId="0" fillId="25" borderId="0" xfId="0" applyFill="1"/>
    <xf numFmtId="0" fontId="2" fillId="25" borderId="0" xfId="0" applyFont="1" applyFill="1" applyAlignment="1">
      <alignment horizontal="center" vertical="center" readingOrder="1"/>
    </xf>
    <xf numFmtId="0" fontId="8" fillId="25" borderId="0" xfId="0" applyFont="1" applyFill="1" applyAlignment="1">
      <alignment horizontal="left" vertical="center" wrapText="1" readingOrder="1"/>
    </xf>
    <xf numFmtId="0" fontId="7" fillId="25" borderId="0" xfId="0" applyFont="1" applyFill="1" applyAlignment="1">
      <alignment horizontal="left" vertical="center" wrapText="1" readingOrder="1"/>
    </xf>
    <xf numFmtId="0" fontId="16" fillId="4" borderId="5" xfId="0" applyFont="1" applyFill="1" applyBorder="1" applyAlignment="1">
      <alignment horizontal="center" vertical="center" readingOrder="1"/>
    </xf>
    <xf numFmtId="0" fontId="1" fillId="4" borderId="5" xfId="0" applyFont="1" applyFill="1" applyBorder="1" applyAlignment="1">
      <alignment horizontal="center" vertical="center" readingOrder="1"/>
    </xf>
    <xf numFmtId="9" fontId="1" fillId="11" borderId="5" xfId="0" applyNumberFormat="1" applyFont="1" applyFill="1" applyBorder="1" applyAlignment="1">
      <alignment horizontal="center" vertical="center" readingOrder="1"/>
    </xf>
    <xf numFmtId="4" fontId="7" fillId="6" borderId="5" xfId="0" applyNumberFormat="1" applyFont="1" applyFill="1" applyBorder="1" applyAlignment="1">
      <alignment horizontal="center" vertical="center" readingOrder="1"/>
    </xf>
    <xf numFmtId="0" fontId="3" fillId="2" borderId="0" xfId="0" applyFont="1" applyFill="1" applyAlignment="1">
      <alignment vertical="center" readingOrder="1"/>
    </xf>
    <xf numFmtId="9" fontId="3" fillId="2" borderId="0" xfId="0" applyNumberFormat="1" applyFont="1" applyFill="1" applyAlignment="1">
      <alignment horizontal="center" vertical="center" readingOrder="1"/>
    </xf>
    <xf numFmtId="4" fontId="3" fillId="2" borderId="0" xfId="0" applyNumberFormat="1" applyFont="1" applyFill="1" applyAlignment="1">
      <alignment horizontal="center" vertical="center" readingOrder="1"/>
    </xf>
    <xf numFmtId="4" fontId="12" fillId="21" borderId="5" xfId="0" applyNumberFormat="1" applyFont="1" applyFill="1" applyBorder="1" applyAlignment="1">
      <alignment horizontal="center" vertical="center" readingOrder="1"/>
    </xf>
    <xf numFmtId="4" fontId="17" fillId="21" borderId="5" xfId="0" applyNumberFormat="1" applyFont="1" applyFill="1" applyBorder="1" applyAlignment="1">
      <alignment horizontal="center" vertical="center" readingOrder="1"/>
    </xf>
    <xf numFmtId="0" fontId="18" fillId="2" borderId="0" xfId="0" applyFont="1" applyFill="1"/>
    <xf numFmtId="4" fontId="2" fillId="2" borderId="0" xfId="0" applyNumberFormat="1" applyFont="1" applyFill="1" applyAlignment="1">
      <alignment horizontal="center" vertical="center"/>
    </xf>
    <xf numFmtId="0" fontId="1" fillId="3" borderId="5" xfId="0" applyFont="1" applyFill="1" applyBorder="1" applyAlignment="1">
      <alignment horizontal="center" vertical="center" readingOrder="1"/>
    </xf>
    <xf numFmtId="4" fontId="1" fillId="11" borderId="5" xfId="0" applyNumberFormat="1" applyFont="1" applyFill="1" applyBorder="1" applyAlignment="1">
      <alignment horizontal="center" vertical="center" readingOrder="1"/>
    </xf>
    <xf numFmtId="4" fontId="2" fillId="27" borderId="5" xfId="0" applyNumberFormat="1" applyFont="1" applyFill="1" applyBorder="1" applyAlignment="1">
      <alignment horizontal="center" vertical="center" readingOrder="1"/>
    </xf>
    <xf numFmtId="10" fontId="2" fillId="15" borderId="5" xfId="0" applyNumberFormat="1" applyFont="1" applyFill="1" applyBorder="1" applyAlignment="1">
      <alignment horizontal="center" vertical="center" readingOrder="1"/>
    </xf>
    <xf numFmtId="9" fontId="0" fillId="2" borderId="0" xfId="0" applyNumberFormat="1" applyFill="1"/>
    <xf numFmtId="4" fontId="0" fillId="2" borderId="0" xfId="0" applyNumberFormat="1" applyFill="1"/>
    <xf numFmtId="4" fontId="7" fillId="6" borderId="7" xfId="0" applyNumberFormat="1" applyFont="1" applyFill="1" applyBorder="1" applyAlignment="1">
      <alignment horizontal="center" vertical="center" readingOrder="1"/>
    </xf>
    <xf numFmtId="4" fontId="9" fillId="6" borderId="5" xfId="0" applyNumberFormat="1" applyFont="1" applyFill="1" applyBorder="1" applyAlignment="1">
      <alignment horizontal="center" vertical="center" readingOrder="1"/>
    </xf>
    <xf numFmtId="4" fontId="2" fillId="20" borderId="5" xfId="0" applyNumberFormat="1" applyFont="1" applyFill="1" applyBorder="1" applyAlignment="1">
      <alignment horizontal="center" vertical="center" readingOrder="1"/>
    </xf>
    <xf numFmtId="0" fontId="0" fillId="2" borderId="0" xfId="0" applyFill="1" applyAlignment="1">
      <alignment horizontal="left" indent="1"/>
    </xf>
    <xf numFmtId="0" fontId="22" fillId="2" borderId="0" xfId="0" applyFont="1" applyFill="1"/>
    <xf numFmtId="4" fontId="8" fillId="15" borderId="5" xfId="0" applyNumberFormat="1" applyFont="1" applyFill="1" applyBorder="1" applyAlignment="1">
      <alignment horizontal="center" vertical="center" readingOrder="1"/>
    </xf>
    <xf numFmtId="0" fontId="0" fillId="2" borderId="5" xfId="0" applyFill="1" applyBorder="1"/>
    <xf numFmtId="0" fontId="1" fillId="8" borderId="5" xfId="0" applyFont="1" applyFill="1" applyBorder="1" applyAlignment="1">
      <alignment horizontal="center" vertical="center" wrapText="1" readingOrder="1"/>
    </xf>
    <xf numFmtId="4" fontId="2" fillId="2" borderId="0" xfId="0" applyNumberFormat="1" applyFont="1" applyFill="1" applyAlignment="1">
      <alignment horizontal="center" vertical="center" readingOrder="1"/>
    </xf>
    <xf numFmtId="0" fontId="11" fillId="15" borderId="3" xfId="0" applyFont="1" applyFill="1" applyBorder="1" applyAlignment="1">
      <alignment horizontal="left" vertical="center" readingOrder="1"/>
    </xf>
    <xf numFmtId="0" fontId="11" fillId="15" borderId="7" xfId="0" applyFont="1" applyFill="1" applyBorder="1" applyAlignment="1">
      <alignment horizontal="left" vertical="center" readingOrder="1"/>
    </xf>
    <xf numFmtId="0" fontId="11" fillId="15" borderId="12" xfId="0" applyFont="1" applyFill="1" applyBorder="1" applyAlignment="1">
      <alignment horizontal="left" vertical="center" wrapText="1" readingOrder="1"/>
    </xf>
    <xf numFmtId="0" fontId="1" fillId="11" borderId="15" xfId="0" applyFont="1" applyFill="1" applyBorder="1" applyAlignment="1">
      <alignment horizontal="center" vertical="center" wrapText="1" readingOrder="1"/>
    </xf>
    <xf numFmtId="0" fontId="1" fillId="3" borderId="16" xfId="0" applyFont="1" applyFill="1" applyBorder="1" applyAlignment="1">
      <alignment horizontal="center" vertical="center" wrapText="1" readingOrder="1"/>
    </xf>
    <xf numFmtId="0" fontId="1" fillId="4" borderId="16" xfId="0" applyFont="1" applyFill="1" applyBorder="1" applyAlignment="1">
      <alignment horizontal="center" vertical="center" wrapText="1" readingOrder="1"/>
    </xf>
    <xf numFmtId="0" fontId="1" fillId="22" borderId="16" xfId="0" applyFont="1" applyFill="1" applyBorder="1" applyAlignment="1">
      <alignment horizontal="center" vertical="center" wrapText="1" readingOrder="1"/>
    </xf>
    <xf numFmtId="0" fontId="1" fillId="10" borderId="16" xfId="0" applyFont="1" applyFill="1" applyBorder="1" applyAlignment="1">
      <alignment horizontal="center" vertical="center" wrapText="1" readingOrder="1"/>
    </xf>
    <xf numFmtId="0" fontId="1" fillId="8" borderId="16" xfId="0" applyFont="1" applyFill="1" applyBorder="1" applyAlignment="1">
      <alignment horizontal="center" vertical="center" wrapText="1" readingOrder="1"/>
    </xf>
    <xf numFmtId="0" fontId="1" fillId="23" borderId="17" xfId="0" applyFont="1" applyFill="1" applyBorder="1" applyAlignment="1">
      <alignment horizontal="center" vertical="center" wrapText="1" readingOrder="1"/>
    </xf>
    <xf numFmtId="3" fontId="2" fillId="16" borderId="19" xfId="0" applyNumberFormat="1" applyFont="1" applyFill="1" applyBorder="1" applyAlignment="1">
      <alignment horizontal="center" vertical="center" readingOrder="1"/>
    </xf>
    <xf numFmtId="3" fontId="2" fillId="24" borderId="20" xfId="0" applyNumberFormat="1" applyFont="1" applyFill="1" applyBorder="1" applyAlignment="1">
      <alignment horizontal="center" vertical="center" readingOrder="1"/>
    </xf>
    <xf numFmtId="3" fontId="2" fillId="16" borderId="25" xfId="0" applyNumberFormat="1" applyFont="1" applyFill="1" applyBorder="1" applyAlignment="1">
      <alignment horizontal="center" vertical="center" readingOrder="1"/>
    </xf>
    <xf numFmtId="4" fontId="3" fillId="21" borderId="28" xfId="0" applyNumberFormat="1" applyFont="1" applyFill="1" applyBorder="1" applyAlignment="1">
      <alignment horizontal="center" vertical="center" readingOrder="1"/>
    </xf>
    <xf numFmtId="3" fontId="3" fillId="21" borderId="28" xfId="0" applyNumberFormat="1" applyFont="1" applyFill="1" applyBorder="1" applyAlignment="1">
      <alignment horizontal="center" vertical="center" readingOrder="1"/>
    </xf>
    <xf numFmtId="3" fontId="3" fillId="21" borderId="27" xfId="0" applyNumberFormat="1" applyFont="1" applyFill="1" applyBorder="1" applyAlignment="1">
      <alignment horizontal="center" vertical="center" readingOrder="1"/>
    </xf>
    <xf numFmtId="166" fontId="3" fillId="21" borderId="27" xfId="0" applyNumberFormat="1" applyFont="1" applyFill="1" applyBorder="1" applyAlignment="1">
      <alignment horizontal="center" vertical="center" readingOrder="1"/>
    </xf>
    <xf numFmtId="166" fontId="3" fillId="21" borderId="28" xfId="0" applyNumberFormat="1" applyFont="1" applyFill="1" applyBorder="1" applyAlignment="1">
      <alignment horizontal="center" vertical="center" readingOrder="1"/>
    </xf>
    <xf numFmtId="4" fontId="3" fillId="21" borderId="31" xfId="0" applyNumberFormat="1" applyFont="1" applyFill="1" applyBorder="1" applyAlignment="1">
      <alignment horizontal="center" vertical="center" readingOrder="1"/>
    </xf>
    <xf numFmtId="3" fontId="3" fillId="21" borderId="31" xfId="0" applyNumberFormat="1" applyFont="1" applyFill="1" applyBorder="1" applyAlignment="1">
      <alignment horizontal="center" vertical="center" readingOrder="1"/>
    </xf>
    <xf numFmtId="166" fontId="3" fillId="21" borderId="31" xfId="0" applyNumberFormat="1" applyFont="1" applyFill="1" applyBorder="1" applyAlignment="1">
      <alignment horizontal="center" vertical="center" readingOrder="1"/>
    </xf>
    <xf numFmtId="3" fontId="3" fillId="21" borderId="32" xfId="0" applyNumberFormat="1" applyFont="1" applyFill="1" applyBorder="1" applyAlignment="1">
      <alignment horizontal="center" vertical="center" readingOrder="1"/>
    </xf>
    <xf numFmtId="0" fontId="1" fillId="11" borderId="7" xfId="0" applyFont="1" applyFill="1" applyBorder="1" applyAlignment="1">
      <alignment horizontal="center" vertical="center" readingOrder="1"/>
    </xf>
    <xf numFmtId="0" fontId="1" fillId="3" borderId="7" xfId="0" applyFont="1" applyFill="1" applyBorder="1" applyAlignment="1">
      <alignment horizontal="center" vertical="center" readingOrder="1"/>
    </xf>
    <xf numFmtId="0" fontId="1" fillId="12" borderId="7" xfId="0" applyFont="1" applyFill="1" applyBorder="1" applyAlignment="1">
      <alignment horizontal="center" vertical="center" readingOrder="1"/>
    </xf>
    <xf numFmtId="0" fontId="1" fillId="4" borderId="7" xfId="0" applyFont="1" applyFill="1" applyBorder="1" applyAlignment="1">
      <alignment horizontal="center" vertical="center" readingOrder="1"/>
    </xf>
    <xf numFmtId="0" fontId="15" fillId="12" borderId="33" xfId="0" applyFont="1" applyFill="1" applyBorder="1" applyAlignment="1">
      <alignment horizontal="center" vertical="center" readingOrder="1"/>
    </xf>
    <xf numFmtId="0" fontId="14" fillId="15" borderId="34" xfId="0" applyFont="1" applyFill="1" applyBorder="1" applyAlignment="1">
      <alignment horizontal="left" vertical="center" wrapText="1" indent="1" readingOrder="1"/>
    </xf>
    <xf numFmtId="0" fontId="14" fillId="15" borderId="35" xfId="0" applyFont="1" applyFill="1" applyBorder="1" applyAlignment="1">
      <alignment horizontal="left" vertical="center" wrapText="1" indent="1" readingOrder="1"/>
    </xf>
    <xf numFmtId="0" fontId="15" fillId="4" borderId="36" xfId="0" applyFont="1" applyFill="1" applyBorder="1" applyAlignment="1">
      <alignment horizontal="center" vertical="center" readingOrder="1"/>
    </xf>
    <xf numFmtId="0" fontId="14" fillId="32" borderId="37" xfId="0" applyFont="1" applyFill="1" applyBorder="1" applyAlignment="1">
      <alignment horizontal="left" vertical="center" wrapText="1" indent="1" readingOrder="1"/>
    </xf>
    <xf numFmtId="0" fontId="14" fillId="32" borderId="38" xfId="0" applyFont="1" applyFill="1" applyBorder="1" applyAlignment="1">
      <alignment horizontal="left" vertical="center" wrapText="1" indent="1" readingOrder="1"/>
    </xf>
    <xf numFmtId="0" fontId="1" fillId="11" borderId="18" xfId="0" applyFont="1" applyFill="1" applyBorder="1" applyAlignment="1">
      <alignment horizontal="center" vertical="center" readingOrder="1"/>
    </xf>
    <xf numFmtId="0" fontId="1" fillId="4" borderId="25" xfId="0" applyFont="1" applyFill="1" applyBorder="1" applyAlignment="1">
      <alignment horizontal="center" vertical="center" readingOrder="1"/>
    </xf>
    <xf numFmtId="4" fontId="2" fillId="6" borderId="20" xfId="0" applyNumberFormat="1" applyFont="1" applyFill="1" applyBorder="1" applyAlignment="1">
      <alignment horizontal="center" vertical="center" readingOrder="1"/>
    </xf>
    <xf numFmtId="4" fontId="3" fillId="21" borderId="24" xfId="0" applyNumberFormat="1" applyFont="1" applyFill="1" applyBorder="1" applyAlignment="1">
      <alignment horizontal="center" vertical="center" readingOrder="1"/>
    </xf>
    <xf numFmtId="0" fontId="1" fillId="11" borderId="15" xfId="0" applyFont="1" applyFill="1" applyBorder="1" applyAlignment="1">
      <alignment horizontal="center" vertical="center" readingOrder="1"/>
    </xf>
    <xf numFmtId="0" fontId="1" fillId="4" borderId="41" xfId="0" applyFont="1" applyFill="1" applyBorder="1" applyAlignment="1">
      <alignment horizontal="center" vertical="center" readingOrder="1"/>
    </xf>
    <xf numFmtId="0" fontId="1" fillId="8" borderId="17" xfId="0" applyFont="1" applyFill="1" applyBorder="1" applyAlignment="1">
      <alignment horizontal="center" vertical="center" wrapText="1" readingOrder="1"/>
    </xf>
    <xf numFmtId="0" fontId="2" fillId="7" borderId="42" xfId="0" applyFont="1" applyFill="1" applyBorder="1" applyAlignment="1">
      <alignment horizontal="center" vertical="center" readingOrder="1"/>
    </xf>
    <xf numFmtId="166" fontId="2" fillId="9" borderId="19" xfId="0" applyNumberFormat="1" applyFont="1" applyFill="1" applyBorder="1" applyAlignment="1">
      <alignment horizontal="center" vertical="center" readingOrder="1"/>
    </xf>
    <xf numFmtId="0" fontId="2" fillId="7" borderId="43" xfId="0" applyFont="1" applyFill="1" applyBorder="1" applyAlignment="1">
      <alignment horizontal="center" vertical="center" readingOrder="1"/>
    </xf>
    <xf numFmtId="4" fontId="2" fillId="6" borderId="44" xfId="0" applyNumberFormat="1" applyFont="1" applyFill="1" applyBorder="1" applyAlignment="1">
      <alignment horizontal="center" vertical="center" readingOrder="1"/>
    </xf>
    <xf numFmtId="166" fontId="2" fillId="9" borderId="45" xfId="0" applyNumberFormat="1" applyFont="1" applyFill="1" applyBorder="1" applyAlignment="1">
      <alignment horizontal="center" vertical="center" readingOrder="1"/>
    </xf>
    <xf numFmtId="0" fontId="27" fillId="25" borderId="0" xfId="0" applyFont="1" applyFill="1" applyAlignment="1">
      <alignment vertical="center" readingOrder="1"/>
    </xf>
    <xf numFmtId="9" fontId="27" fillId="25" borderId="0" xfId="0" applyNumberFormat="1" applyFont="1" applyFill="1" applyAlignment="1">
      <alignment horizontal="center" vertical="center" readingOrder="1"/>
    </xf>
    <xf numFmtId="4" fontId="7" fillId="25" borderId="0" xfId="0" applyNumberFormat="1" applyFont="1" applyFill="1" applyAlignment="1">
      <alignment horizontal="center" vertical="center" readingOrder="1"/>
    </xf>
    <xf numFmtId="4" fontId="2" fillId="25" borderId="0" xfId="0" applyNumberFormat="1" applyFont="1" applyFill="1" applyAlignment="1">
      <alignment horizontal="center" vertical="center" readingOrder="1"/>
    </xf>
    <xf numFmtId="4" fontId="2" fillId="27" borderId="6" xfId="0" applyNumberFormat="1" applyFont="1" applyFill="1" applyBorder="1" applyAlignment="1">
      <alignment horizontal="center" vertical="center" readingOrder="1"/>
    </xf>
    <xf numFmtId="4" fontId="16" fillId="11" borderId="5" xfId="0" applyNumberFormat="1" applyFont="1" applyFill="1" applyBorder="1" applyAlignment="1">
      <alignment vertical="center" readingOrder="1"/>
    </xf>
    <xf numFmtId="4" fontId="11" fillId="20" borderId="7" xfId="0" applyNumberFormat="1" applyFont="1" applyFill="1" applyBorder="1" applyAlignment="1">
      <alignment horizontal="center" vertical="center" readingOrder="1"/>
    </xf>
    <xf numFmtId="4" fontId="11" fillId="21" borderId="5" xfId="0" applyNumberFormat="1" applyFont="1" applyFill="1" applyBorder="1" applyAlignment="1">
      <alignment horizontal="center" vertical="center" readingOrder="1"/>
    </xf>
    <xf numFmtId="4" fontId="11" fillId="21" borderId="5" xfId="0" applyNumberFormat="1" applyFont="1" applyFill="1" applyBorder="1" applyAlignment="1">
      <alignment vertical="center" readingOrder="1"/>
    </xf>
    <xf numFmtId="4" fontId="30" fillId="11" borderId="5" xfId="0" applyNumberFormat="1" applyFont="1" applyFill="1" applyBorder="1" applyAlignment="1">
      <alignment vertical="center" readingOrder="1"/>
    </xf>
    <xf numFmtId="0" fontId="1" fillId="5" borderId="52" xfId="0" applyFont="1" applyFill="1" applyBorder="1" applyAlignment="1">
      <alignment horizontal="left" vertical="center" readingOrder="1"/>
    </xf>
    <xf numFmtId="0" fontId="27" fillId="20" borderId="52" xfId="0" applyFont="1" applyFill="1" applyBorder="1" applyAlignment="1">
      <alignment vertical="center" readingOrder="1"/>
    </xf>
    <xf numFmtId="0" fontId="27" fillId="21" borderId="52" xfId="0" applyFont="1" applyFill="1" applyBorder="1" applyAlignment="1">
      <alignment vertical="center" readingOrder="1"/>
    </xf>
    <xf numFmtId="0" fontId="27" fillId="21" borderId="53" xfId="0" applyFont="1" applyFill="1" applyBorder="1" applyAlignment="1">
      <alignment vertical="center" readingOrder="1"/>
    </xf>
    <xf numFmtId="0" fontId="3" fillId="21" borderId="53" xfId="0" applyFont="1" applyFill="1" applyBorder="1" applyAlignment="1">
      <alignment vertical="center" readingOrder="1"/>
    </xf>
    <xf numFmtId="0" fontId="2" fillId="32" borderId="14" xfId="0" applyFont="1" applyFill="1" applyBorder="1" applyAlignment="1">
      <alignment vertical="center" readingOrder="1"/>
    </xf>
    <xf numFmtId="0" fontId="11" fillId="32" borderId="54" xfId="0" applyFont="1" applyFill="1" applyBorder="1" applyAlignment="1">
      <alignment vertical="center" readingOrder="1"/>
    </xf>
    <xf numFmtId="0" fontId="27" fillId="20" borderId="55" xfId="0" applyFont="1" applyFill="1" applyBorder="1" applyAlignment="1">
      <alignment vertical="center" readingOrder="1"/>
    </xf>
    <xf numFmtId="0" fontId="31" fillId="32" borderId="52" xfId="0" applyFont="1" applyFill="1" applyBorder="1" applyAlignment="1">
      <alignment vertical="center" readingOrder="1"/>
    </xf>
    <xf numFmtId="0" fontId="31" fillId="15" borderId="14" xfId="0" applyFont="1" applyFill="1" applyBorder="1" applyAlignment="1">
      <alignment vertical="center" readingOrder="1"/>
    </xf>
    <xf numFmtId="4" fontId="11" fillId="20" borderId="50" xfId="0" applyNumberFormat="1" applyFont="1" applyFill="1" applyBorder="1" applyAlignment="1">
      <alignment horizontal="center" vertical="center" readingOrder="1"/>
    </xf>
    <xf numFmtId="0" fontId="3" fillId="21" borderId="58" xfId="0" applyFont="1" applyFill="1" applyBorder="1" applyAlignment="1">
      <alignment vertical="center" readingOrder="1"/>
    </xf>
    <xf numFmtId="4" fontId="3" fillId="21" borderId="57" xfId="0" applyNumberFormat="1" applyFont="1" applyFill="1" applyBorder="1" applyAlignment="1">
      <alignment horizontal="center" vertical="center" readingOrder="1"/>
    </xf>
    <xf numFmtId="4" fontId="31" fillId="32" borderId="5" xfId="0" applyNumberFormat="1" applyFont="1" applyFill="1" applyBorder="1" applyAlignment="1">
      <alignment horizontal="center" vertical="center" readingOrder="1"/>
    </xf>
    <xf numFmtId="4" fontId="11" fillId="32" borderId="7" xfId="0" applyNumberFormat="1" applyFont="1" applyFill="1" applyBorder="1" applyAlignment="1">
      <alignment horizontal="center" vertical="center" readingOrder="1"/>
    </xf>
    <xf numFmtId="4" fontId="31" fillId="15" borderId="5" xfId="0" applyNumberFormat="1" applyFont="1" applyFill="1" applyBorder="1" applyAlignment="1">
      <alignment horizontal="center" vertical="center" readingOrder="1"/>
    </xf>
    <xf numFmtId="4" fontId="11" fillId="32" borderId="5" xfId="0" applyNumberFormat="1" applyFont="1" applyFill="1" applyBorder="1" applyAlignment="1">
      <alignment horizontal="center" vertical="center" readingOrder="1"/>
    </xf>
    <xf numFmtId="4" fontId="29" fillId="20" borderId="5" xfId="0" applyNumberFormat="1" applyFont="1" applyFill="1" applyBorder="1" applyAlignment="1">
      <alignment vertical="center" readingOrder="1"/>
    </xf>
    <xf numFmtId="9" fontId="32" fillId="2" borderId="0" xfId="0" applyNumberFormat="1" applyFont="1" applyFill="1" applyAlignment="1">
      <alignment horizontal="left" vertical="center"/>
    </xf>
    <xf numFmtId="0" fontId="16" fillId="35" borderId="5" xfId="0" applyFont="1" applyFill="1" applyBorder="1" applyAlignment="1">
      <alignment horizontal="center" vertical="center" readingOrder="1"/>
    </xf>
    <xf numFmtId="0" fontId="1" fillId="35" borderId="5" xfId="0" applyFont="1" applyFill="1" applyBorder="1" applyAlignment="1">
      <alignment horizontal="center" vertical="center" readingOrder="1"/>
    </xf>
    <xf numFmtId="4" fontId="2" fillId="36" borderId="5" xfId="0" applyNumberFormat="1" applyFont="1" applyFill="1" applyBorder="1" applyAlignment="1">
      <alignment horizontal="center" vertical="center" readingOrder="1"/>
    </xf>
    <xf numFmtId="0" fontId="12" fillId="21" borderId="14" xfId="0" applyFont="1" applyFill="1" applyBorder="1" applyAlignment="1">
      <alignment vertical="center" readingOrder="1"/>
    </xf>
    <xf numFmtId="0" fontId="35" fillId="25" borderId="0" xfId="0" applyFont="1" applyFill="1" applyAlignment="1">
      <alignment horizontal="left" vertical="center" indent="1" readingOrder="1"/>
    </xf>
    <xf numFmtId="4" fontId="5" fillId="25" borderId="0" xfId="0" applyNumberFormat="1" applyFont="1" applyFill="1" applyAlignment="1">
      <alignment horizontal="center" vertical="center" readingOrder="1"/>
    </xf>
    <xf numFmtId="4" fontId="7" fillId="15" borderId="5" xfId="0" applyNumberFormat="1" applyFont="1" applyFill="1" applyBorder="1" applyAlignment="1">
      <alignment horizontal="center" vertical="center" readingOrder="1"/>
    </xf>
    <xf numFmtId="0" fontId="27" fillId="32" borderId="14" xfId="0" applyFont="1" applyFill="1" applyBorder="1" applyAlignment="1">
      <alignment vertical="center" readingOrder="1"/>
    </xf>
    <xf numFmtId="0" fontId="1" fillId="4" borderId="6" xfId="0" applyFont="1" applyFill="1" applyBorder="1" applyAlignment="1">
      <alignment horizontal="center" vertical="center" readingOrder="1"/>
    </xf>
    <xf numFmtId="4" fontId="12" fillId="21" borderId="6" xfId="0" applyNumberFormat="1" applyFont="1" applyFill="1" applyBorder="1" applyAlignment="1">
      <alignment horizontal="center" vertical="center" readingOrder="1"/>
    </xf>
    <xf numFmtId="0" fontId="16" fillId="35" borderId="47" xfId="0" applyFont="1" applyFill="1" applyBorder="1" applyAlignment="1">
      <alignment horizontal="center" vertical="center" readingOrder="1"/>
    </xf>
    <xf numFmtId="4" fontId="17" fillId="21" borderId="47" xfId="0" applyNumberFormat="1" applyFont="1" applyFill="1" applyBorder="1" applyAlignment="1">
      <alignment horizontal="center" vertical="center" readingOrder="1"/>
    </xf>
    <xf numFmtId="4" fontId="7" fillId="15" borderId="47" xfId="0" applyNumberFormat="1" applyFont="1" applyFill="1" applyBorder="1" applyAlignment="1">
      <alignment horizontal="center" vertical="center" readingOrder="1"/>
    </xf>
    <xf numFmtId="0" fontId="0" fillId="25" borderId="0" xfId="0" applyFill="1" applyAlignment="1">
      <alignment horizontal="left"/>
    </xf>
    <xf numFmtId="0" fontId="0" fillId="2" borderId="56" xfId="0" applyFill="1" applyBorder="1"/>
    <xf numFmtId="0" fontId="0" fillId="2" borderId="56" xfId="0" applyFill="1" applyBorder="1" applyAlignment="1">
      <alignment wrapText="1"/>
    </xf>
    <xf numFmtId="0" fontId="0" fillId="2" borderId="56" xfId="0" applyFill="1" applyBorder="1" applyAlignment="1">
      <alignment horizontal="left"/>
    </xf>
    <xf numFmtId="4" fontId="11" fillId="37" borderId="7" xfId="0" applyNumberFormat="1" applyFont="1" applyFill="1" applyBorder="1" applyAlignment="1">
      <alignment horizontal="center" vertical="center" readingOrder="1"/>
    </xf>
    <xf numFmtId="4" fontId="0" fillId="25" borderId="0" xfId="0" applyNumberFormat="1" applyFill="1"/>
    <xf numFmtId="4" fontId="0" fillId="2" borderId="0" xfId="0" applyNumberFormat="1" applyFill="1" applyAlignment="1">
      <alignment horizontal="left"/>
    </xf>
    <xf numFmtId="4" fontId="30" fillId="11" borderId="5" xfId="0" applyNumberFormat="1" applyFont="1" applyFill="1" applyBorder="1" applyAlignment="1">
      <alignment horizontal="center" vertical="center" readingOrder="1"/>
    </xf>
    <xf numFmtId="0" fontId="27" fillId="2" borderId="8" xfId="0" applyFont="1" applyFill="1" applyBorder="1" applyAlignment="1">
      <alignment vertical="center" readingOrder="1"/>
    </xf>
    <xf numFmtId="4" fontId="7" fillId="15" borderId="7" xfId="0" applyNumberFormat="1" applyFont="1" applyFill="1" applyBorder="1" applyAlignment="1">
      <alignment horizontal="center" vertical="center" readingOrder="1"/>
    </xf>
    <xf numFmtId="9" fontId="2" fillId="2" borderId="0" xfId="0" applyNumberFormat="1" applyFont="1" applyFill="1" applyAlignment="1">
      <alignment horizontal="center" vertical="center" readingOrder="1"/>
    </xf>
    <xf numFmtId="4" fontId="7" fillId="2" borderId="0" xfId="0" applyNumberFormat="1" applyFont="1" applyFill="1" applyAlignment="1">
      <alignment horizontal="center" vertical="center" readingOrder="1"/>
    </xf>
    <xf numFmtId="0" fontId="27" fillId="2" borderId="0" xfId="0" applyFont="1" applyFill="1" applyAlignment="1">
      <alignment vertical="center" readingOrder="1"/>
    </xf>
    <xf numFmtId="9" fontId="27" fillId="2" borderId="0" xfId="0" applyNumberFormat="1" applyFont="1" applyFill="1" applyAlignment="1">
      <alignment horizontal="center" vertical="center" readingOrder="1"/>
    </xf>
    <xf numFmtId="0" fontId="20" fillId="32" borderId="59" xfId="0" applyFont="1" applyFill="1" applyBorder="1" applyAlignment="1">
      <alignment vertical="center" readingOrder="1"/>
    </xf>
    <xf numFmtId="0" fontId="23" fillId="15" borderId="52" xfId="0" applyFont="1" applyFill="1" applyBorder="1" applyAlignment="1">
      <alignment vertical="center" readingOrder="1"/>
    </xf>
    <xf numFmtId="0" fontId="23" fillId="15" borderId="14" xfId="0" applyFont="1" applyFill="1" applyBorder="1" applyAlignment="1">
      <alignment vertical="center" readingOrder="1"/>
    </xf>
    <xf numFmtId="0" fontId="18" fillId="38" borderId="6" xfId="0" applyFont="1" applyFill="1" applyBorder="1" applyAlignment="1">
      <alignment horizontal="center"/>
    </xf>
    <xf numFmtId="9" fontId="21" fillId="14" borderId="5" xfId="1" applyFont="1" applyFill="1" applyBorder="1" applyAlignment="1">
      <alignment horizontal="center" vertical="center" readingOrder="1"/>
    </xf>
    <xf numFmtId="0" fontId="36" fillId="25" borderId="5" xfId="0" applyFont="1" applyFill="1" applyBorder="1" applyAlignment="1">
      <alignment horizontal="left" vertical="center" indent="1" readingOrder="1"/>
    </xf>
    <xf numFmtId="0" fontId="5" fillId="11" borderId="5" xfId="0" applyFont="1" applyFill="1" applyBorder="1" applyAlignment="1">
      <alignment horizontal="left" vertical="center" indent="1" readingOrder="1"/>
    </xf>
    <xf numFmtId="0" fontId="35" fillId="11" borderId="5" xfId="0" applyFont="1" applyFill="1" applyBorder="1" applyAlignment="1">
      <alignment horizontal="left" vertical="center" indent="1" readingOrder="1"/>
    </xf>
    <xf numFmtId="4" fontId="43" fillId="20" borderId="5" xfId="0" applyNumberFormat="1" applyFont="1" applyFill="1" applyBorder="1" applyAlignment="1">
      <alignment horizontal="center" vertical="center" readingOrder="1"/>
    </xf>
    <xf numFmtId="0" fontId="11" fillId="15" borderId="6" xfId="0" applyFont="1" applyFill="1" applyBorder="1" applyAlignment="1">
      <alignment horizontal="left" vertical="center" readingOrder="1"/>
    </xf>
    <xf numFmtId="3" fontId="7" fillId="15" borderId="5" xfId="0" applyNumberFormat="1" applyFont="1" applyFill="1" applyBorder="1" applyAlignment="1">
      <alignment horizontal="center" vertical="center" readingOrder="1"/>
    </xf>
    <xf numFmtId="9" fontId="12" fillId="21" borderId="1" xfId="0" applyNumberFormat="1" applyFont="1" applyFill="1" applyBorder="1" applyAlignment="1">
      <alignment horizontal="center" vertical="center" readingOrder="1"/>
    </xf>
    <xf numFmtId="9" fontId="2" fillId="32" borderId="1" xfId="0" applyNumberFormat="1" applyFont="1" applyFill="1" applyBorder="1" applyAlignment="1">
      <alignment horizontal="center" vertical="center" readingOrder="1"/>
    </xf>
    <xf numFmtId="0" fontId="16" fillId="4" borderId="47" xfId="0" applyFont="1" applyFill="1" applyBorder="1" applyAlignment="1">
      <alignment horizontal="center" vertical="center" readingOrder="1"/>
    </xf>
    <xf numFmtId="0" fontId="1" fillId="4" borderId="46" xfId="0" applyFont="1" applyFill="1" applyBorder="1" applyAlignment="1">
      <alignment horizontal="center" vertical="center" readingOrder="1"/>
    </xf>
    <xf numFmtId="4" fontId="12" fillId="21" borderId="46" xfId="0" applyNumberFormat="1" applyFont="1" applyFill="1" applyBorder="1" applyAlignment="1">
      <alignment horizontal="center" vertical="center" readingOrder="1"/>
    </xf>
    <xf numFmtId="4" fontId="2" fillId="27" borderId="46" xfId="0" applyNumberFormat="1" applyFont="1" applyFill="1" applyBorder="1" applyAlignment="1">
      <alignment horizontal="center" vertical="center" readingOrder="1"/>
    </xf>
    <xf numFmtId="4" fontId="7" fillId="15" borderId="62" xfId="0" applyNumberFormat="1" applyFont="1" applyFill="1" applyBorder="1" applyAlignment="1">
      <alignment horizontal="center" vertical="center" readingOrder="1"/>
    </xf>
    <xf numFmtId="0" fontId="44" fillId="14" borderId="8" xfId="0" applyFont="1" applyFill="1" applyBorder="1" applyAlignment="1">
      <alignment horizontal="left" vertical="center" indent="1" readingOrder="1"/>
    </xf>
    <xf numFmtId="0" fontId="44" fillId="14" borderId="60" xfId="0" applyFont="1" applyFill="1" applyBorder="1" applyAlignment="1">
      <alignment horizontal="left" vertical="center" indent="1" readingOrder="1"/>
    </xf>
    <xf numFmtId="4" fontId="44" fillId="14" borderId="63" xfId="0" applyNumberFormat="1" applyFont="1" applyFill="1" applyBorder="1" applyAlignment="1">
      <alignment horizontal="center" vertical="center" readingOrder="1"/>
    </xf>
    <xf numFmtId="4" fontId="44" fillId="14" borderId="64" xfId="0" applyNumberFormat="1" applyFont="1" applyFill="1" applyBorder="1" applyAlignment="1">
      <alignment horizontal="center" vertical="center" readingOrder="1"/>
    </xf>
    <xf numFmtId="0" fontId="11" fillId="32" borderId="6" xfId="0" applyFont="1" applyFill="1" applyBorder="1" applyAlignment="1">
      <alignment horizontal="left" vertical="center" indent="1" readingOrder="1"/>
    </xf>
    <xf numFmtId="0" fontId="8" fillId="32" borderId="6" xfId="0" applyFont="1" applyFill="1" applyBorder="1" applyAlignment="1">
      <alignment horizontal="left" vertical="center" indent="1" readingOrder="1"/>
    </xf>
    <xf numFmtId="0" fontId="18" fillId="41" borderId="6" xfId="0" applyFont="1" applyFill="1" applyBorder="1" applyAlignment="1">
      <alignment horizontal="center"/>
    </xf>
    <xf numFmtId="0" fontId="46" fillId="39" borderId="66" xfId="0" applyFont="1" applyFill="1" applyBorder="1" applyAlignment="1">
      <alignment horizontal="center" vertical="center" wrapText="1"/>
    </xf>
    <xf numFmtId="0" fontId="46" fillId="39" borderId="67" xfId="0" applyFont="1" applyFill="1" applyBorder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48" fillId="32" borderId="86" xfId="0" applyFont="1" applyFill="1" applyBorder="1" applyAlignment="1">
      <alignment horizontal="center" vertical="center" wrapText="1"/>
    </xf>
    <xf numFmtId="0" fontId="48" fillId="32" borderId="90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52" fillId="0" borderId="0" xfId="0" applyFont="1" applyAlignment="1">
      <alignment horizontal="left" vertical="center"/>
    </xf>
    <xf numFmtId="4" fontId="1" fillId="11" borderId="101" xfId="0" applyNumberFormat="1" applyFont="1" applyFill="1" applyBorder="1" applyAlignment="1">
      <alignment horizontal="center" vertical="center" readingOrder="1"/>
    </xf>
    <xf numFmtId="3" fontId="1" fillId="11" borderId="100" xfId="0" applyNumberFormat="1" applyFont="1" applyFill="1" applyBorder="1" applyAlignment="1">
      <alignment horizontal="center" vertical="center" readingOrder="1"/>
    </xf>
    <xf numFmtId="166" fontId="1" fillId="11" borderId="101" xfId="0" applyNumberFormat="1" applyFont="1" applyFill="1" applyBorder="1" applyAlignment="1">
      <alignment horizontal="center" vertical="center" readingOrder="1"/>
    </xf>
    <xf numFmtId="166" fontId="1" fillId="11" borderId="100" xfId="0" applyNumberFormat="1" applyFont="1" applyFill="1" applyBorder="1" applyAlignment="1">
      <alignment horizontal="center" vertical="center" readingOrder="1"/>
    </xf>
    <xf numFmtId="3" fontId="1" fillId="11" borderId="101" xfId="0" applyNumberFormat="1" applyFont="1" applyFill="1" applyBorder="1" applyAlignment="1">
      <alignment horizontal="center" vertical="center" readingOrder="1"/>
    </xf>
    <xf numFmtId="0" fontId="1" fillId="33" borderId="9" xfId="0" applyFont="1" applyFill="1" applyBorder="1" applyAlignment="1">
      <alignment horizontal="center" vertical="center" readingOrder="1"/>
    </xf>
    <xf numFmtId="0" fontId="19" fillId="11" borderId="7" xfId="0" applyFont="1" applyFill="1" applyBorder="1" applyAlignment="1">
      <alignment horizontal="center" vertical="center" readingOrder="1"/>
    </xf>
    <xf numFmtId="0" fontId="19" fillId="26" borderId="7" xfId="0" applyFont="1" applyFill="1" applyBorder="1" applyAlignment="1">
      <alignment horizontal="center" vertical="center" readingOrder="1"/>
    </xf>
    <xf numFmtId="0" fontId="19" fillId="34" borderId="7" xfId="0" applyFont="1" applyFill="1" applyBorder="1" applyAlignment="1">
      <alignment horizontal="center" vertical="center" readingOrder="1"/>
    </xf>
    <xf numFmtId="0" fontId="0" fillId="2" borderId="0" xfId="0" applyFill="1" applyAlignment="1">
      <alignment vertical="center"/>
    </xf>
    <xf numFmtId="0" fontId="22" fillId="2" borderId="0" xfId="0" applyFont="1" applyFill="1" applyAlignment="1">
      <alignment horizontal="center" vertical="center"/>
    </xf>
    <xf numFmtId="4" fontId="2" fillId="41" borderId="5" xfId="0" applyNumberFormat="1" applyFont="1" applyFill="1" applyBorder="1" applyAlignment="1">
      <alignment horizontal="center" vertical="center" readingOrder="1"/>
    </xf>
    <xf numFmtId="4" fontId="53" fillId="15" borderId="5" xfId="0" applyNumberFormat="1" applyFont="1" applyFill="1" applyBorder="1" applyAlignment="1">
      <alignment horizontal="center" vertical="center" readingOrder="1"/>
    </xf>
    <xf numFmtId="4" fontId="17" fillId="15" borderId="5" xfId="0" applyNumberFormat="1" applyFont="1" applyFill="1" applyBorder="1" applyAlignment="1">
      <alignment horizontal="center" vertical="center" readingOrder="1"/>
    </xf>
    <xf numFmtId="0" fontId="19" fillId="2" borderId="7" xfId="0" applyFont="1" applyFill="1" applyBorder="1" applyAlignment="1">
      <alignment horizontal="center" vertical="center" readingOrder="1"/>
    </xf>
    <xf numFmtId="9" fontId="18" fillId="2" borderId="6" xfId="1" applyFont="1" applyFill="1" applyBorder="1" applyAlignment="1">
      <alignment horizontal="center"/>
    </xf>
    <xf numFmtId="4" fontId="7" fillId="43" borderId="5" xfId="0" applyNumberFormat="1" applyFont="1" applyFill="1" applyBorder="1" applyAlignment="1">
      <alignment horizontal="center" vertical="center" readingOrder="1"/>
    </xf>
    <xf numFmtId="4" fontId="7" fillId="44" borderId="5" xfId="0" applyNumberFormat="1" applyFont="1" applyFill="1" applyBorder="1" applyAlignment="1">
      <alignment horizontal="center" vertical="center" readingOrder="1"/>
    </xf>
    <xf numFmtId="0" fontId="19" fillId="4" borderId="5" xfId="0" applyFont="1" applyFill="1" applyBorder="1" applyAlignment="1">
      <alignment horizontal="center" vertical="center" readingOrder="1"/>
    </xf>
    <xf numFmtId="9" fontId="19" fillId="4" borderId="5" xfId="0" applyNumberFormat="1" applyFont="1" applyFill="1" applyBorder="1" applyAlignment="1">
      <alignment horizontal="center" vertical="center" readingOrder="1"/>
    </xf>
    <xf numFmtId="0" fontId="54" fillId="41" borderId="6" xfId="0" applyFont="1" applyFill="1" applyBorder="1" applyAlignment="1">
      <alignment horizontal="center"/>
    </xf>
    <xf numFmtId="10" fontId="2" fillId="7" borderId="3" xfId="0" applyNumberFormat="1" applyFont="1" applyFill="1" applyBorder="1" applyAlignment="1">
      <alignment horizontal="center" vertical="center" readingOrder="1"/>
    </xf>
    <xf numFmtId="10" fontId="2" fillId="7" borderId="2" xfId="0" applyNumberFormat="1" applyFont="1" applyFill="1" applyBorder="1" applyAlignment="1">
      <alignment horizontal="center" vertical="center" readingOrder="1"/>
    </xf>
    <xf numFmtId="4" fontId="1" fillId="5" borderId="5" xfId="0" applyNumberFormat="1" applyFont="1" applyFill="1" applyBorder="1" applyAlignment="1">
      <alignment horizontal="center" vertical="center" readingOrder="1"/>
    </xf>
    <xf numFmtId="4" fontId="3" fillId="21" borderId="5" xfId="0" applyNumberFormat="1" applyFont="1" applyFill="1" applyBorder="1" applyAlignment="1">
      <alignment horizontal="center" vertical="center" readingOrder="1"/>
    </xf>
    <xf numFmtId="9" fontId="22" fillId="27" borderId="5" xfId="3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 vertical="center" readingOrder="1"/>
    </xf>
    <xf numFmtId="4" fontId="2" fillId="15" borderId="5" xfId="0" applyNumberFormat="1" applyFont="1" applyFill="1" applyBorder="1" applyAlignment="1">
      <alignment horizontal="center" vertical="center" readingOrder="1"/>
    </xf>
    <xf numFmtId="166" fontId="2" fillId="31" borderId="5" xfId="0" applyNumberFormat="1" applyFont="1" applyFill="1" applyBorder="1" applyAlignment="1">
      <alignment horizontal="center" vertical="center" readingOrder="1"/>
    </xf>
    <xf numFmtId="0" fontId="16" fillId="10" borderId="5" xfId="0" applyFont="1" applyFill="1" applyBorder="1" applyAlignment="1">
      <alignment horizontal="center" vertical="center" readingOrder="1"/>
    </xf>
    <xf numFmtId="0" fontId="1" fillId="10" borderId="5" xfId="0" applyFont="1" applyFill="1" applyBorder="1" applyAlignment="1">
      <alignment horizontal="center" vertical="center" readingOrder="1"/>
    </xf>
    <xf numFmtId="9" fontId="1" fillId="5" borderId="5" xfId="0" applyNumberFormat="1" applyFont="1" applyFill="1" applyBorder="1" applyAlignment="1">
      <alignment horizontal="center" vertical="center" readingOrder="1"/>
    </xf>
    <xf numFmtId="9" fontId="0" fillId="9" borderId="5" xfId="3" applyFont="1" applyFill="1" applyBorder="1" applyAlignment="1">
      <alignment horizontal="center" vertical="center"/>
    </xf>
    <xf numFmtId="166" fontId="2" fillId="42" borderId="5" xfId="0" applyNumberFormat="1" applyFont="1" applyFill="1" applyBorder="1" applyAlignment="1">
      <alignment horizontal="center" vertical="center" readingOrder="1"/>
    </xf>
    <xf numFmtId="0" fontId="1" fillId="46" borderId="5" xfId="0" applyFont="1" applyFill="1" applyBorder="1" applyAlignment="1">
      <alignment horizontal="center" vertical="center" readingOrder="1"/>
    </xf>
    <xf numFmtId="4" fontId="2" fillId="47" borderId="5" xfId="0" applyNumberFormat="1" applyFont="1" applyFill="1" applyBorder="1" applyAlignment="1">
      <alignment horizontal="center" vertical="center" readingOrder="1"/>
    </xf>
    <xf numFmtId="0" fontId="57" fillId="2" borderId="0" xfId="0" applyFont="1" applyFill="1" applyAlignment="1">
      <alignment horizontal="left"/>
    </xf>
    <xf numFmtId="9" fontId="32" fillId="2" borderId="0" xfId="0" applyNumberFormat="1" applyFont="1" applyFill="1" applyAlignment="1">
      <alignment vertical="center"/>
    </xf>
    <xf numFmtId="0" fontId="55" fillId="2" borderId="0" xfId="0" applyFont="1" applyFill="1" applyAlignment="1">
      <alignment horizontal="center" vertical="center" readingOrder="1"/>
    </xf>
    <xf numFmtId="166" fontId="1" fillId="11" borderId="5" xfId="0" applyNumberFormat="1" applyFont="1" applyFill="1" applyBorder="1" applyAlignment="1">
      <alignment horizontal="center" vertical="center" readingOrder="1"/>
    </xf>
    <xf numFmtId="169" fontId="0" fillId="15" borderId="9" xfId="8" applyNumberFormat="1" applyFont="1" applyFill="1" applyBorder="1" applyAlignment="1">
      <alignment vertical="center"/>
    </xf>
    <xf numFmtId="9" fontId="2" fillId="41" borderId="5" xfId="0" applyNumberFormat="1" applyFont="1" applyFill="1" applyBorder="1" applyAlignment="1">
      <alignment horizontal="center" vertical="center" readingOrder="1"/>
    </xf>
    <xf numFmtId="9" fontId="2" fillId="6" borderId="5" xfId="0" applyNumberFormat="1" applyFont="1" applyFill="1" applyBorder="1" applyAlignment="1">
      <alignment horizontal="center" vertical="center" readingOrder="1"/>
    </xf>
    <xf numFmtId="3" fontId="2" fillId="16" borderId="40" xfId="0" applyNumberFormat="1" applyFont="1" applyFill="1" applyBorder="1" applyAlignment="1">
      <alignment horizontal="center" vertical="center" readingOrder="1"/>
    </xf>
    <xf numFmtId="3" fontId="2" fillId="9" borderId="19" xfId="0" applyNumberFormat="1" applyFont="1" applyFill="1" applyBorder="1" applyAlignment="1">
      <alignment horizontal="center" vertical="center" readingOrder="1"/>
    </xf>
    <xf numFmtId="3" fontId="2" fillId="9" borderId="106" xfId="0" applyNumberFormat="1" applyFont="1" applyFill="1" applyBorder="1" applyAlignment="1">
      <alignment horizontal="center" vertical="center" readingOrder="1"/>
    </xf>
    <xf numFmtId="3" fontId="2" fillId="16" borderId="20" xfId="0" applyNumberFormat="1" applyFont="1" applyFill="1" applyBorder="1" applyAlignment="1">
      <alignment horizontal="center" vertical="center" readingOrder="1"/>
    </xf>
    <xf numFmtId="0" fontId="11" fillId="15" borderId="7" xfId="0" applyFont="1" applyFill="1" applyBorder="1" applyAlignment="1">
      <alignment horizontal="left" vertical="center" wrapText="1" readingOrder="1"/>
    </xf>
    <xf numFmtId="3" fontId="2" fillId="16" borderId="39" xfId="0" applyNumberFormat="1" applyFont="1" applyFill="1" applyBorder="1" applyAlignment="1">
      <alignment horizontal="center" vertical="center" readingOrder="1"/>
    </xf>
    <xf numFmtId="3" fontId="2" fillId="24" borderId="108" xfId="0" applyNumberFormat="1" applyFont="1" applyFill="1" applyBorder="1" applyAlignment="1">
      <alignment horizontal="center" vertical="center" readingOrder="1"/>
    </xf>
    <xf numFmtId="3" fontId="2" fillId="24" borderId="40" xfId="0" applyNumberFormat="1" applyFont="1" applyFill="1" applyBorder="1" applyAlignment="1">
      <alignment horizontal="center" vertical="center" readingOrder="1"/>
    </xf>
    <xf numFmtId="3" fontId="2" fillId="16" borderId="109" xfId="0" applyNumberFormat="1" applyFont="1" applyFill="1" applyBorder="1" applyAlignment="1">
      <alignment horizontal="center" vertical="center" readingOrder="1"/>
    </xf>
    <xf numFmtId="0" fontId="1" fillId="3" borderId="5" xfId="0" applyFont="1" applyFill="1" applyBorder="1" applyAlignment="1">
      <alignment horizontal="center" vertical="center" wrapText="1" readingOrder="1"/>
    </xf>
    <xf numFmtId="0" fontId="1" fillId="4" borderId="5" xfId="0" applyFont="1" applyFill="1" applyBorder="1" applyAlignment="1">
      <alignment horizontal="center" vertical="center" wrapText="1" readingOrder="1"/>
    </xf>
    <xf numFmtId="0" fontId="1" fillId="10" borderId="5" xfId="0" applyFont="1" applyFill="1" applyBorder="1" applyAlignment="1">
      <alignment horizontal="center" vertical="center" wrapText="1" readingOrder="1"/>
    </xf>
    <xf numFmtId="4" fontId="1" fillId="11" borderId="6" xfId="0" applyNumberFormat="1" applyFont="1" applyFill="1" applyBorder="1" applyAlignment="1">
      <alignment horizontal="center" vertical="center" readingOrder="1"/>
    </xf>
    <xf numFmtId="166" fontId="1" fillId="11" borderId="9" xfId="0" applyNumberFormat="1" applyFont="1" applyFill="1" applyBorder="1" applyAlignment="1">
      <alignment horizontal="center" vertical="center" readingOrder="1"/>
    </xf>
    <xf numFmtId="3" fontId="2" fillId="9" borderId="20" xfId="0" applyNumberFormat="1" applyFont="1" applyFill="1" applyBorder="1" applyAlignment="1">
      <alignment horizontal="center" vertical="center" readingOrder="1"/>
    </xf>
    <xf numFmtId="166" fontId="0" fillId="2" borderId="0" xfId="0" applyNumberFormat="1" applyFill="1"/>
    <xf numFmtId="0" fontId="0" fillId="0" borderId="110" xfId="0" applyBorder="1"/>
    <xf numFmtId="0" fontId="1" fillId="22" borderId="5" xfId="0" applyFont="1" applyFill="1" applyBorder="1" applyAlignment="1">
      <alignment horizontal="center" vertical="center" readingOrder="1"/>
    </xf>
    <xf numFmtId="4" fontId="9" fillId="36" borderId="5" xfId="0" applyNumberFormat="1" applyFont="1" applyFill="1" applyBorder="1" applyAlignment="1">
      <alignment horizontal="center" vertical="center" readingOrder="1"/>
    </xf>
    <xf numFmtId="0" fontId="41" fillId="2" borderId="0" xfId="0" applyFont="1" applyFill="1"/>
    <xf numFmtId="166" fontId="9" fillId="9" borderId="5" xfId="0" applyNumberFormat="1" applyFont="1" applyFill="1" applyBorder="1" applyAlignment="1">
      <alignment horizontal="center" vertical="center" readingOrder="1"/>
    </xf>
    <xf numFmtId="0" fontId="58" fillId="2" borderId="0" xfId="0" applyFont="1" applyFill="1" applyAlignment="1">
      <alignment horizontal="center" vertical="center" readingOrder="1"/>
    </xf>
    <xf numFmtId="0" fontId="58" fillId="2" borderId="0" xfId="0" applyFont="1" applyFill="1" applyAlignment="1">
      <alignment horizontal="left" vertical="center" readingOrder="1"/>
    </xf>
    <xf numFmtId="0" fontId="40" fillId="2" borderId="0" xfId="0" applyFont="1" applyFill="1"/>
    <xf numFmtId="4" fontId="9" fillId="15" borderId="5" xfId="0" applyNumberFormat="1" applyFont="1" applyFill="1" applyBorder="1" applyAlignment="1">
      <alignment horizontal="center" vertical="center" readingOrder="1"/>
    </xf>
    <xf numFmtId="0" fontId="2" fillId="15" borderId="18" xfId="0" applyFont="1" applyFill="1" applyBorder="1" applyAlignment="1">
      <alignment horizontal="center" vertical="center" readingOrder="1"/>
    </xf>
    <xf numFmtId="0" fontId="2" fillId="7" borderId="61" xfId="0" applyFont="1" applyFill="1" applyBorder="1" applyAlignment="1">
      <alignment horizontal="center" vertical="center" readingOrder="1"/>
    </xf>
    <xf numFmtId="0" fontId="8" fillId="13" borderId="61" xfId="0" applyFont="1" applyFill="1" applyBorder="1" applyAlignment="1">
      <alignment horizontal="left" vertical="center" readingOrder="1"/>
    </xf>
    <xf numFmtId="4" fontId="2" fillId="6" borderId="113" xfId="0" applyNumberFormat="1" applyFont="1" applyFill="1" applyBorder="1" applyAlignment="1">
      <alignment horizontal="center" vertical="center" readingOrder="1"/>
    </xf>
    <xf numFmtId="0" fontId="2" fillId="7" borderId="2" xfId="0" applyFont="1" applyFill="1" applyBorder="1" applyAlignment="1">
      <alignment horizontal="center" vertical="center" readingOrder="1"/>
    </xf>
    <xf numFmtId="0" fontId="8" fillId="13" borderId="2" xfId="0" applyFont="1" applyFill="1" applyBorder="1" applyAlignment="1">
      <alignment horizontal="left" vertical="center" readingOrder="1"/>
    </xf>
    <xf numFmtId="4" fontId="2" fillId="6" borderId="25" xfId="0" applyNumberFormat="1" applyFont="1" applyFill="1" applyBorder="1" applyAlignment="1">
      <alignment horizontal="center" vertical="center" readingOrder="1"/>
    </xf>
    <xf numFmtId="0" fontId="2" fillId="2" borderId="0" xfId="0" applyFont="1" applyFill="1" applyAlignment="1">
      <alignment horizontal="center" vertical="center" wrapText="1"/>
    </xf>
    <xf numFmtId="0" fontId="5" fillId="11" borderId="5" xfId="0" applyFont="1" applyFill="1" applyBorder="1" applyAlignment="1">
      <alignment horizontal="center" vertical="center" readingOrder="1"/>
    </xf>
    <xf numFmtId="0" fontId="2" fillId="20" borderId="5" xfId="0" applyFont="1" applyFill="1" applyBorder="1" applyAlignment="1">
      <alignment horizontal="center" vertical="center" wrapText="1" readingOrder="1"/>
    </xf>
    <xf numFmtId="4" fontId="2" fillId="7" borderId="5" xfId="0" applyNumberFormat="1" applyFont="1" applyFill="1" applyBorder="1" applyAlignment="1">
      <alignment horizontal="center" vertical="center" readingOrder="1"/>
    </xf>
    <xf numFmtId="170" fontId="2" fillId="7" borderId="5" xfId="0" applyNumberFormat="1" applyFont="1" applyFill="1" applyBorder="1" applyAlignment="1">
      <alignment horizontal="center" vertical="center" readingOrder="1"/>
    </xf>
    <xf numFmtId="0" fontId="8" fillId="7" borderId="5" xfId="0" applyFont="1" applyFill="1" applyBorder="1" applyAlignment="1">
      <alignment horizontal="left" vertical="center" wrapText="1" readingOrder="1"/>
    </xf>
    <xf numFmtId="0" fontId="1" fillId="11" borderId="5" xfId="0" applyFont="1" applyFill="1" applyBorder="1" applyAlignment="1">
      <alignment horizontal="center" vertical="center" readingOrder="1"/>
    </xf>
    <xf numFmtId="4" fontId="12" fillId="2" borderId="0" xfId="0" applyNumberFormat="1" applyFont="1" applyFill="1" applyAlignment="1">
      <alignment horizontal="center" vertical="center" readingOrder="1"/>
    </xf>
    <xf numFmtId="9" fontId="12" fillId="2" borderId="0" xfId="0" applyNumberFormat="1" applyFont="1" applyFill="1" applyAlignment="1">
      <alignment horizontal="center" vertical="center" readingOrder="1"/>
    </xf>
    <xf numFmtId="9" fontId="1" fillId="11" borderId="117" xfId="0" applyNumberFormat="1" applyFont="1" applyFill="1" applyBorder="1" applyAlignment="1">
      <alignment horizontal="center" vertical="center" readingOrder="1"/>
    </xf>
    <xf numFmtId="9" fontId="31" fillId="32" borderId="118" xfId="0" applyNumberFormat="1" applyFont="1" applyFill="1" applyBorder="1" applyAlignment="1">
      <alignment horizontal="center" vertical="center" readingOrder="1"/>
    </xf>
    <xf numFmtId="9" fontId="31" fillId="32" borderId="119" xfId="0" applyNumberFormat="1" applyFont="1" applyFill="1" applyBorder="1" applyAlignment="1">
      <alignment horizontal="center" vertical="center" readingOrder="1"/>
    </xf>
    <xf numFmtId="9" fontId="28" fillId="20" borderId="117" xfId="0" applyNumberFormat="1" applyFont="1" applyFill="1" applyBorder="1" applyAlignment="1">
      <alignment horizontal="center" vertical="center" readingOrder="1"/>
    </xf>
    <xf numFmtId="9" fontId="27" fillId="21" borderId="105" xfId="0" applyNumberFormat="1" applyFont="1" applyFill="1" applyBorder="1" applyAlignment="1">
      <alignment horizontal="center" vertical="center" readingOrder="1"/>
    </xf>
    <xf numFmtId="9" fontId="27" fillId="21" borderId="118" xfId="0" applyNumberFormat="1" applyFont="1" applyFill="1" applyBorder="1" applyAlignment="1">
      <alignment horizontal="center" vertical="center" readingOrder="1"/>
    </xf>
    <xf numFmtId="4" fontId="31" fillId="27" borderId="6" xfId="0" applyNumberFormat="1" applyFont="1" applyFill="1" applyBorder="1" applyAlignment="1">
      <alignment horizontal="center" vertical="center" readingOrder="1"/>
    </xf>
    <xf numFmtId="4" fontId="2" fillId="20" borderId="6" xfId="0" applyNumberFormat="1" applyFont="1" applyFill="1" applyBorder="1" applyAlignment="1">
      <alignment horizontal="center" vertical="center" readingOrder="1"/>
    </xf>
    <xf numFmtId="4" fontId="2" fillId="21" borderId="1" xfId="0" applyNumberFormat="1" applyFont="1" applyFill="1" applyBorder="1" applyAlignment="1">
      <alignment horizontal="center" vertical="center" readingOrder="1"/>
    </xf>
    <xf numFmtId="4" fontId="2" fillId="21" borderId="120" xfId="0" applyNumberFormat="1" applyFont="1" applyFill="1" applyBorder="1" applyAlignment="1">
      <alignment horizontal="center" vertical="center" readingOrder="1"/>
    </xf>
    <xf numFmtId="9" fontId="3" fillId="21" borderId="118" xfId="0" applyNumberFormat="1" applyFont="1" applyFill="1" applyBorder="1" applyAlignment="1">
      <alignment horizontal="center" vertical="center" readingOrder="1"/>
    </xf>
    <xf numFmtId="9" fontId="2" fillId="32" borderId="117" xfId="0" applyNumberFormat="1" applyFont="1" applyFill="1" applyBorder="1" applyAlignment="1">
      <alignment horizontal="center" vertical="center" readingOrder="1"/>
    </xf>
    <xf numFmtId="9" fontId="31" fillId="15" borderId="117" xfId="0" applyNumberFormat="1" applyFont="1" applyFill="1" applyBorder="1" applyAlignment="1">
      <alignment horizontal="center" vertical="center" readingOrder="1"/>
    </xf>
    <xf numFmtId="9" fontId="11" fillId="32" borderId="124" xfId="0" applyNumberFormat="1" applyFont="1" applyFill="1" applyBorder="1" applyAlignment="1">
      <alignment horizontal="center" vertical="center" readingOrder="1"/>
    </xf>
    <xf numFmtId="9" fontId="28" fillId="20" borderId="125" xfId="0" applyNumberFormat="1" applyFont="1" applyFill="1" applyBorder="1" applyAlignment="1">
      <alignment horizontal="center" vertical="center" readingOrder="1"/>
    </xf>
    <xf numFmtId="9" fontId="3" fillId="21" borderId="126" xfId="0" applyNumberFormat="1" applyFont="1" applyFill="1" applyBorder="1" applyAlignment="1">
      <alignment horizontal="center" vertical="center" readingOrder="1"/>
    </xf>
    <xf numFmtId="4" fontId="3" fillId="21" borderId="120" xfId="0" applyNumberFormat="1" applyFont="1" applyFill="1" applyBorder="1" applyAlignment="1">
      <alignment horizontal="center" vertical="center" readingOrder="1"/>
    </xf>
    <xf numFmtId="4" fontId="9" fillId="27" borderId="6" xfId="0" applyNumberFormat="1" applyFont="1" applyFill="1" applyBorder="1" applyAlignment="1">
      <alignment horizontal="center" vertical="center" readingOrder="1"/>
    </xf>
    <xf numFmtId="4" fontId="11" fillId="27" borderId="8" xfId="0" applyNumberFormat="1" applyFont="1" applyFill="1" applyBorder="1" applyAlignment="1">
      <alignment horizontal="center" vertical="center" readingOrder="1"/>
    </xf>
    <xf numFmtId="4" fontId="2" fillId="20" borderId="127" xfId="0" applyNumberFormat="1" applyFont="1" applyFill="1" applyBorder="1" applyAlignment="1">
      <alignment horizontal="center" vertical="center" readingOrder="1"/>
    </xf>
    <xf numFmtId="4" fontId="3" fillId="21" borderId="128" xfId="0" applyNumberFormat="1" applyFont="1" applyFill="1" applyBorder="1" applyAlignment="1">
      <alignment horizontal="center" vertical="center" readingOrder="1"/>
    </xf>
    <xf numFmtId="4" fontId="2" fillId="27" borderId="8" xfId="0" applyNumberFormat="1" applyFont="1" applyFill="1" applyBorder="1" applyAlignment="1">
      <alignment horizontal="center" vertical="center" readingOrder="1"/>
    </xf>
    <xf numFmtId="0" fontId="12" fillId="21" borderId="131" xfId="0" applyFont="1" applyFill="1" applyBorder="1" applyAlignment="1">
      <alignment vertical="center" readingOrder="1"/>
    </xf>
    <xf numFmtId="0" fontId="2" fillId="32" borderId="131" xfId="0" applyFont="1" applyFill="1" applyBorder="1" applyAlignment="1">
      <alignment vertical="center" readingOrder="1"/>
    </xf>
    <xf numFmtId="0" fontId="27" fillId="32" borderId="131" xfId="0" applyFont="1" applyFill="1" applyBorder="1" applyAlignment="1">
      <alignment vertical="center" readingOrder="1"/>
    </xf>
    <xf numFmtId="0" fontId="9" fillId="32" borderId="131" xfId="0" applyFont="1" applyFill="1" applyBorder="1" applyAlignment="1">
      <alignment vertical="center" readingOrder="1"/>
    </xf>
    <xf numFmtId="0" fontId="34" fillId="21" borderId="131" xfId="0" applyFont="1" applyFill="1" applyBorder="1" applyAlignment="1">
      <alignment vertical="center" readingOrder="1"/>
    </xf>
    <xf numFmtId="0" fontId="1" fillId="5" borderId="131" xfId="0" applyFont="1" applyFill="1" applyBorder="1" applyAlignment="1">
      <alignment vertical="center" readingOrder="1"/>
    </xf>
    <xf numFmtId="0" fontId="16" fillId="4" borderId="9" xfId="0" applyFont="1" applyFill="1" applyBorder="1" applyAlignment="1">
      <alignment horizontal="center" vertical="center" readingOrder="1"/>
    </xf>
    <xf numFmtId="4" fontId="17" fillId="21" borderId="9" xfId="0" applyNumberFormat="1" applyFont="1" applyFill="1" applyBorder="1" applyAlignment="1">
      <alignment horizontal="center" vertical="center" readingOrder="1"/>
    </xf>
    <xf numFmtId="4" fontId="7" fillId="15" borderId="9" xfId="0" applyNumberFormat="1" applyFont="1" applyFill="1" applyBorder="1" applyAlignment="1">
      <alignment horizontal="center" vertical="center" readingOrder="1"/>
    </xf>
    <xf numFmtId="4" fontId="53" fillId="15" borderId="9" xfId="0" applyNumberFormat="1" applyFont="1" applyFill="1" applyBorder="1" applyAlignment="1">
      <alignment horizontal="center" vertical="center" readingOrder="1"/>
    </xf>
    <xf numFmtId="4" fontId="17" fillId="15" borderId="9" xfId="0" applyNumberFormat="1" applyFont="1" applyFill="1" applyBorder="1" applyAlignment="1">
      <alignment horizontal="center" vertical="center" readingOrder="1"/>
    </xf>
    <xf numFmtId="9" fontId="12" fillId="21" borderId="105" xfId="0" applyNumberFormat="1" applyFont="1" applyFill="1" applyBorder="1" applyAlignment="1">
      <alignment horizontal="center" vertical="center" readingOrder="1"/>
    </xf>
    <xf numFmtId="9" fontId="2" fillId="32" borderId="105" xfId="0" applyNumberFormat="1" applyFont="1" applyFill="1" applyBorder="1" applyAlignment="1">
      <alignment horizontal="center" vertical="center" readingOrder="1"/>
    </xf>
    <xf numFmtId="0" fontId="1" fillId="5" borderId="105" xfId="0" applyFont="1" applyFill="1" applyBorder="1" applyAlignment="1">
      <alignment vertical="center" readingOrder="1"/>
    </xf>
    <xf numFmtId="4" fontId="1" fillId="5" borderId="6" xfId="0" applyNumberFormat="1" applyFont="1" applyFill="1" applyBorder="1" applyAlignment="1">
      <alignment vertical="center" readingOrder="1"/>
    </xf>
    <xf numFmtId="4" fontId="17" fillId="21" borderId="117" xfId="0" applyNumberFormat="1" applyFont="1" applyFill="1" applyBorder="1" applyAlignment="1">
      <alignment horizontal="center" vertical="center" readingOrder="1"/>
    </xf>
    <xf numFmtId="3" fontId="7" fillId="15" borderId="117" xfId="0" applyNumberFormat="1" applyFont="1" applyFill="1" applyBorder="1" applyAlignment="1">
      <alignment horizontal="center" vertical="center" readingOrder="1"/>
    </xf>
    <xf numFmtId="0" fontId="1" fillId="35" borderId="6" xfId="0" applyFont="1" applyFill="1" applyBorder="1" applyAlignment="1">
      <alignment horizontal="center" vertical="center" readingOrder="1"/>
    </xf>
    <xf numFmtId="4" fontId="2" fillId="36" borderId="6" xfId="0" applyNumberFormat="1" applyFont="1" applyFill="1" applyBorder="1" applyAlignment="1">
      <alignment horizontal="center" vertical="center" readingOrder="1"/>
    </xf>
    <xf numFmtId="0" fontId="16" fillId="35" borderId="117" xfId="0" applyFont="1" applyFill="1" applyBorder="1" applyAlignment="1">
      <alignment horizontal="center" vertical="center" readingOrder="1"/>
    </xf>
    <xf numFmtId="4" fontId="7" fillId="15" borderId="117" xfId="0" applyNumberFormat="1" applyFont="1" applyFill="1" applyBorder="1" applyAlignment="1">
      <alignment horizontal="center" vertical="center" readingOrder="1"/>
    </xf>
    <xf numFmtId="4" fontId="53" fillId="15" borderId="117" xfId="0" applyNumberFormat="1" applyFont="1" applyFill="1" applyBorder="1" applyAlignment="1">
      <alignment horizontal="center" vertical="center" readingOrder="1"/>
    </xf>
    <xf numFmtId="4" fontId="17" fillId="15" borderId="117" xfId="0" applyNumberFormat="1" applyFont="1" applyFill="1" applyBorder="1" applyAlignment="1">
      <alignment horizontal="center" vertical="center" readingOrder="1"/>
    </xf>
    <xf numFmtId="0" fontId="16" fillId="22" borderId="117" xfId="0" applyFont="1" applyFill="1" applyBorder="1" applyAlignment="1">
      <alignment horizontal="center" vertical="center" readingOrder="1"/>
    </xf>
    <xf numFmtId="0" fontId="16" fillId="22" borderId="5" xfId="0" applyFont="1" applyFill="1" applyBorder="1" applyAlignment="1">
      <alignment horizontal="center" vertical="center" readingOrder="1"/>
    </xf>
    <xf numFmtId="3" fontId="2" fillId="17" borderId="5" xfId="0" applyNumberFormat="1" applyFont="1" applyFill="1" applyBorder="1" applyAlignment="1">
      <alignment horizontal="center" vertical="center" readingOrder="1"/>
    </xf>
    <xf numFmtId="0" fontId="34" fillId="2" borderId="0" xfId="0" applyFont="1" applyFill="1" applyAlignment="1">
      <alignment vertical="center" readingOrder="1"/>
    </xf>
    <xf numFmtId="4" fontId="17" fillId="2" borderId="0" xfId="0" applyNumberFormat="1" applyFont="1" applyFill="1" applyAlignment="1">
      <alignment horizontal="center" vertical="center" readingOrder="1"/>
    </xf>
    <xf numFmtId="9" fontId="32" fillId="2" borderId="0" xfId="0" applyNumberFormat="1" applyFont="1" applyFill="1" applyAlignment="1">
      <alignment horizontal="center" vertical="center"/>
    </xf>
    <xf numFmtId="0" fontId="62" fillId="2" borderId="0" xfId="0" applyFont="1" applyFill="1"/>
    <xf numFmtId="0" fontId="61" fillId="2" borderId="0" xfId="0" applyFont="1" applyFill="1" applyAlignment="1">
      <alignment vertical="center" readingOrder="1"/>
    </xf>
    <xf numFmtId="0" fontId="13" fillId="2" borderId="102" xfId="0" applyFont="1" applyFill="1" applyBorder="1" applyAlignment="1">
      <alignment vertical="center" readingOrder="1"/>
    </xf>
    <xf numFmtId="0" fontId="13" fillId="2" borderId="0" xfId="0" applyFont="1" applyFill="1" applyAlignment="1">
      <alignment vertical="center" readingOrder="1"/>
    </xf>
    <xf numFmtId="10" fontId="3" fillId="21" borderId="31" xfId="0" applyNumberFormat="1" applyFont="1" applyFill="1" applyBorder="1" applyAlignment="1">
      <alignment horizontal="center" vertical="center" readingOrder="1"/>
    </xf>
    <xf numFmtId="9" fontId="1" fillId="11" borderId="100" xfId="0" applyNumberFormat="1" applyFont="1" applyFill="1" applyBorder="1" applyAlignment="1">
      <alignment horizontal="center" vertical="center" wrapText="1" readingOrder="1"/>
    </xf>
    <xf numFmtId="9" fontId="1" fillId="11" borderId="100" xfId="0" applyNumberFormat="1" applyFont="1" applyFill="1" applyBorder="1" applyAlignment="1">
      <alignment horizontal="center" vertical="center" readingOrder="1"/>
    </xf>
    <xf numFmtId="9" fontId="3" fillId="21" borderId="5" xfId="0" applyNumberFormat="1" applyFont="1" applyFill="1" applyBorder="1" applyAlignment="1">
      <alignment horizontal="center" vertical="center" readingOrder="1"/>
    </xf>
    <xf numFmtId="9" fontId="2" fillId="20" borderId="5" xfId="0" applyNumberFormat="1" applyFont="1" applyFill="1" applyBorder="1" applyAlignment="1">
      <alignment horizontal="center" vertical="center" readingOrder="1"/>
    </xf>
    <xf numFmtId="0" fontId="56" fillId="30" borderId="5" xfId="0" applyFont="1" applyFill="1" applyBorder="1" applyAlignment="1">
      <alignment horizontal="center"/>
    </xf>
    <xf numFmtId="0" fontId="0" fillId="15" borderId="5" xfId="0" applyFill="1" applyBorder="1" applyAlignment="1">
      <alignment horizontal="left"/>
    </xf>
    <xf numFmtId="9" fontId="1" fillId="14" borderId="5" xfId="0" applyNumberFormat="1" applyFont="1" applyFill="1" applyBorder="1" applyAlignment="1">
      <alignment horizontal="center" vertical="center" readingOrder="1"/>
    </xf>
    <xf numFmtId="4" fontId="1" fillId="14" borderId="5" xfId="0" applyNumberFormat="1" applyFont="1" applyFill="1" applyBorder="1" applyAlignment="1">
      <alignment horizontal="center" vertical="center" readingOrder="1"/>
    </xf>
    <xf numFmtId="0" fontId="42" fillId="2" borderId="5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9" fontId="26" fillId="6" borderId="5" xfId="3" applyFont="1" applyFill="1" applyBorder="1" applyAlignment="1">
      <alignment horizontal="center" vertical="center"/>
    </xf>
    <xf numFmtId="0" fontId="22" fillId="2" borderId="0" xfId="0" applyFont="1" applyFill="1" applyAlignment="1">
      <alignment horizontal="left"/>
    </xf>
    <xf numFmtId="0" fontId="42" fillId="2" borderId="5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9" fontId="63" fillId="2" borderId="0" xfId="0" applyNumberFormat="1" applyFont="1" applyFill="1" applyAlignment="1">
      <alignment horizontal="left" vertical="center"/>
    </xf>
    <xf numFmtId="9" fontId="64" fillId="2" borderId="0" xfId="0" applyNumberFormat="1" applyFont="1" applyFill="1" applyAlignment="1">
      <alignment horizontal="left" vertical="center"/>
    </xf>
    <xf numFmtId="166" fontId="8" fillId="9" borderId="5" xfId="0" applyNumberFormat="1" applyFont="1" applyFill="1" applyBorder="1" applyAlignment="1">
      <alignment horizontal="center" vertical="center" readingOrder="1"/>
    </xf>
    <xf numFmtId="166" fontId="8" fillId="16" borderId="5" xfId="0" applyNumberFormat="1" applyFont="1" applyFill="1" applyBorder="1" applyAlignment="1">
      <alignment horizontal="center" vertical="center" readingOrder="1"/>
    </xf>
    <xf numFmtId="166" fontId="19" fillId="11" borderId="5" xfId="0" applyNumberFormat="1" applyFont="1" applyFill="1" applyBorder="1" applyAlignment="1">
      <alignment horizontal="center" vertical="center" readingOrder="1"/>
    </xf>
    <xf numFmtId="10" fontId="2" fillId="16" borderId="5" xfId="0" applyNumberFormat="1" applyFont="1" applyFill="1" applyBorder="1" applyAlignment="1">
      <alignment horizontal="center" vertical="center" readingOrder="1"/>
    </xf>
    <xf numFmtId="0" fontId="1" fillId="2" borderId="5" xfId="0" applyFont="1" applyFill="1" applyBorder="1" applyAlignment="1">
      <alignment horizontal="center" vertical="center" readingOrder="1"/>
    </xf>
    <xf numFmtId="10" fontId="2" fillId="2" borderId="5" xfId="0" applyNumberFormat="1" applyFont="1" applyFill="1" applyBorder="1" applyAlignment="1">
      <alignment horizontal="center" vertical="center" readingOrder="1"/>
    </xf>
    <xf numFmtId="9" fontId="1" fillId="2" borderId="5" xfId="0" applyNumberFormat="1" applyFont="1" applyFill="1" applyBorder="1" applyAlignment="1">
      <alignment horizontal="center" vertical="center" readingOrder="1"/>
    </xf>
    <xf numFmtId="0" fontId="56" fillId="2" borderId="9" xfId="0" applyFont="1" applyFill="1" applyBorder="1"/>
    <xf numFmtId="166" fontId="8" fillId="18" borderId="5" xfId="0" applyNumberFormat="1" applyFont="1" applyFill="1" applyBorder="1" applyAlignment="1">
      <alignment horizontal="center" vertical="center" readingOrder="1"/>
    </xf>
    <xf numFmtId="166" fontId="2" fillId="28" borderId="5" xfId="0" applyNumberFormat="1" applyFont="1" applyFill="1" applyBorder="1" applyAlignment="1">
      <alignment horizontal="center" vertical="center" readingOrder="1"/>
    </xf>
    <xf numFmtId="9" fontId="9" fillId="20" borderId="5" xfId="0" applyNumberFormat="1" applyFont="1" applyFill="1" applyBorder="1" applyAlignment="1">
      <alignment horizontal="center" vertical="center" readingOrder="1"/>
    </xf>
    <xf numFmtId="9" fontId="26" fillId="37" borderId="5" xfId="3" applyFont="1" applyFill="1" applyBorder="1" applyAlignment="1">
      <alignment horizontal="center" vertical="center"/>
    </xf>
    <xf numFmtId="166" fontId="26" fillId="37" borderId="5" xfId="3" applyNumberFormat="1" applyFont="1" applyFill="1" applyBorder="1" applyAlignment="1">
      <alignment horizontal="center" vertical="center"/>
    </xf>
    <xf numFmtId="166" fontId="26" fillId="21" borderId="5" xfId="3" applyNumberFormat="1" applyFont="1" applyFill="1" applyBorder="1" applyAlignment="1">
      <alignment horizontal="center" vertical="center"/>
    </xf>
    <xf numFmtId="9" fontId="22" fillId="21" borderId="5" xfId="3" applyFont="1" applyFill="1" applyBorder="1" applyAlignment="1">
      <alignment horizontal="center" vertical="center"/>
    </xf>
    <xf numFmtId="9" fontId="22" fillId="2" borderId="5" xfId="3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readingOrder="1"/>
    </xf>
    <xf numFmtId="9" fontId="9" fillId="2" borderId="0" xfId="0" applyNumberFormat="1" applyFont="1" applyFill="1" applyAlignment="1">
      <alignment horizontal="center" vertical="center" readingOrder="1"/>
    </xf>
    <xf numFmtId="9" fontId="26" fillId="20" borderId="5" xfId="3" applyFont="1" applyFill="1" applyBorder="1" applyAlignment="1">
      <alignment horizontal="center" vertical="center"/>
    </xf>
    <xf numFmtId="166" fontId="26" fillId="20" borderId="5" xfId="3" applyNumberFormat="1" applyFont="1" applyFill="1" applyBorder="1" applyAlignment="1">
      <alignment horizontal="center" vertical="center"/>
    </xf>
    <xf numFmtId="0" fontId="1" fillId="50" borderId="5" xfId="0" applyFont="1" applyFill="1" applyBorder="1" applyAlignment="1">
      <alignment horizontal="center" vertical="center" wrapText="1" readingOrder="1"/>
    </xf>
    <xf numFmtId="0" fontId="1" fillId="50" borderId="5" xfId="0" applyFont="1" applyFill="1" applyBorder="1" applyAlignment="1">
      <alignment horizontal="center" vertical="center" readingOrder="1"/>
    </xf>
    <xf numFmtId="166" fontId="2" fillId="49" borderId="5" xfId="0" applyNumberFormat="1" applyFont="1" applyFill="1" applyBorder="1" applyAlignment="1">
      <alignment horizontal="center" vertical="center" readingOrder="1"/>
    </xf>
    <xf numFmtId="4" fontId="2" fillId="6" borderId="9" xfId="0" applyNumberFormat="1" applyFont="1" applyFill="1" applyBorder="1" applyAlignment="1">
      <alignment horizontal="center" vertical="center" readingOrder="1"/>
    </xf>
    <xf numFmtId="4" fontId="1" fillId="5" borderId="3" xfId="0" applyNumberFormat="1" applyFont="1" applyFill="1" applyBorder="1" applyAlignment="1">
      <alignment horizontal="center" vertical="center" readingOrder="1"/>
    </xf>
    <xf numFmtId="166" fontId="8" fillId="29" borderId="5" xfId="0" applyNumberFormat="1" applyFont="1" applyFill="1" applyBorder="1" applyAlignment="1">
      <alignment horizontal="center" vertical="center" readingOrder="1"/>
    </xf>
    <xf numFmtId="166" fontId="22" fillId="49" borderId="5" xfId="0" applyNumberFormat="1" applyFont="1" applyFill="1" applyBorder="1"/>
    <xf numFmtId="166" fontId="12" fillId="37" borderId="5" xfId="0" applyNumberFormat="1" applyFont="1" applyFill="1" applyBorder="1" applyAlignment="1">
      <alignment vertical="center" wrapText="1" readingOrder="1"/>
    </xf>
    <xf numFmtId="4" fontId="0" fillId="0" borderId="110" xfId="0" applyNumberFormat="1" applyBorder="1"/>
    <xf numFmtId="0" fontId="0" fillId="0" borderId="110" xfId="0" applyBorder="1" applyAlignment="1">
      <alignment horizontal="center"/>
    </xf>
    <xf numFmtId="0" fontId="0" fillId="2" borderId="0" xfId="0" applyFill="1" applyAlignment="1">
      <alignment horizontal="center"/>
    </xf>
    <xf numFmtId="166" fontId="12" fillId="48" borderId="5" xfId="0" applyNumberFormat="1" applyFont="1" applyFill="1" applyBorder="1" applyAlignment="1">
      <alignment vertical="center" wrapText="1" readingOrder="1"/>
    </xf>
    <xf numFmtId="0" fontId="60" fillId="2" borderId="0" xfId="0" applyFont="1" applyFill="1"/>
    <xf numFmtId="9" fontId="0" fillId="2" borderId="0" xfId="0" applyNumberFormat="1" applyFill="1" applyAlignment="1">
      <alignment horizontal="left"/>
    </xf>
    <xf numFmtId="9" fontId="66" fillId="2" borderId="0" xfId="0" applyNumberFormat="1" applyFont="1" applyFill="1" applyAlignment="1">
      <alignment horizontal="left" wrapText="1"/>
    </xf>
    <xf numFmtId="169" fontId="0" fillId="15" borderId="5" xfId="8" applyNumberFormat="1" applyFont="1" applyFill="1" applyBorder="1" applyAlignment="1">
      <alignment vertical="center"/>
    </xf>
    <xf numFmtId="166" fontId="67" fillId="2" borderId="0" xfId="0" applyNumberFormat="1" applyFont="1" applyFill="1" applyAlignment="1">
      <alignment horizontal="center" vertical="center" readingOrder="1"/>
    </xf>
    <xf numFmtId="0" fontId="11" fillId="25" borderId="0" xfId="0" applyFont="1" applyFill="1" applyAlignment="1">
      <alignment horizontal="left" vertical="center" wrapText="1" readingOrder="1"/>
    </xf>
    <xf numFmtId="3" fontId="2" fillId="25" borderId="0" xfId="0" applyNumberFormat="1" applyFont="1" applyFill="1" applyAlignment="1">
      <alignment horizontal="center" vertical="center" readingOrder="1"/>
    </xf>
    <xf numFmtId="0" fontId="0" fillId="15" borderId="5" xfId="0" applyFill="1" applyBorder="1" applyAlignment="1">
      <alignment horizontal="center" vertical="center"/>
    </xf>
    <xf numFmtId="0" fontId="1" fillId="11" borderId="5" xfId="0" applyFont="1" applyFill="1" applyBorder="1" applyAlignment="1">
      <alignment vertical="center" readingOrder="1"/>
    </xf>
    <xf numFmtId="0" fontId="2" fillId="25" borderId="5" xfId="0" applyFont="1" applyFill="1" applyBorder="1" applyAlignment="1">
      <alignment horizontal="center" vertical="center" readingOrder="1"/>
    </xf>
    <xf numFmtId="0" fontId="23" fillId="15" borderId="5" xfId="0" applyFont="1" applyFill="1" applyBorder="1" applyAlignment="1">
      <alignment horizontal="left" vertical="center" readingOrder="1"/>
    </xf>
    <xf numFmtId="0" fontId="1" fillId="14" borderId="5" xfId="0" applyFont="1" applyFill="1" applyBorder="1" applyAlignment="1">
      <alignment horizontal="center" vertical="center" readingOrder="1"/>
    </xf>
    <xf numFmtId="166" fontId="9" fillId="7" borderId="7" xfId="0" applyNumberFormat="1" applyFont="1" applyFill="1" applyBorder="1" applyAlignment="1">
      <alignment horizontal="center" vertical="center" readingOrder="1"/>
    </xf>
    <xf numFmtId="166" fontId="8" fillId="29" borderId="7" xfId="0" applyNumberFormat="1" applyFont="1" applyFill="1" applyBorder="1" applyAlignment="1">
      <alignment horizontal="center" vertical="center" readingOrder="1"/>
    </xf>
    <xf numFmtId="166" fontId="2" fillId="49" borderId="7" xfId="0" applyNumberFormat="1" applyFont="1" applyFill="1" applyBorder="1" applyAlignment="1">
      <alignment horizontal="center" vertical="center" readingOrder="1"/>
    </xf>
    <xf numFmtId="4" fontId="2" fillId="15" borderId="2" xfId="0" applyNumberFormat="1" applyFont="1" applyFill="1" applyBorder="1" applyAlignment="1">
      <alignment horizontal="center" vertical="center" readingOrder="1"/>
    </xf>
    <xf numFmtId="166" fontId="8" fillId="29" borderId="3" xfId="0" applyNumberFormat="1" applyFont="1" applyFill="1" applyBorder="1" applyAlignment="1">
      <alignment horizontal="center" vertical="center" readingOrder="1"/>
    </xf>
    <xf numFmtId="166" fontId="2" fillId="49" borderId="3" xfId="0" applyNumberFormat="1" applyFont="1" applyFill="1" applyBorder="1" applyAlignment="1">
      <alignment horizontal="center" vertical="center" readingOrder="1"/>
    </xf>
    <xf numFmtId="0" fontId="1" fillId="51" borderId="16" xfId="0" applyFont="1" applyFill="1" applyBorder="1" applyAlignment="1">
      <alignment horizontal="center" vertical="center" wrapText="1" readingOrder="1"/>
    </xf>
    <xf numFmtId="9" fontId="8" fillId="15" borderId="5" xfId="0" applyNumberFormat="1" applyFont="1" applyFill="1" applyBorder="1" applyAlignment="1">
      <alignment horizontal="center" vertical="center" readingOrder="1"/>
    </xf>
    <xf numFmtId="0" fontId="3" fillId="48" borderId="5" xfId="0" applyFont="1" applyFill="1" applyBorder="1" applyAlignment="1">
      <alignment horizontal="center" vertical="center" wrapText="1" readingOrder="1"/>
    </xf>
    <xf numFmtId="166" fontId="9" fillId="37" borderId="5" xfId="0" applyNumberFormat="1" applyFont="1" applyFill="1" applyBorder="1" applyAlignment="1">
      <alignment vertical="center" readingOrder="1"/>
    </xf>
    <xf numFmtId="166" fontId="9" fillId="48" borderId="5" xfId="0" applyNumberFormat="1" applyFont="1" applyFill="1" applyBorder="1" applyAlignment="1">
      <alignment vertical="center" readingOrder="1"/>
    </xf>
    <xf numFmtId="166" fontId="9" fillId="41" borderId="5" xfId="0" applyNumberFormat="1" applyFont="1" applyFill="1" applyBorder="1" applyAlignment="1">
      <alignment horizontal="center" vertical="center" readingOrder="1"/>
    </xf>
    <xf numFmtId="166" fontId="54" fillId="37" borderId="5" xfId="3" applyNumberFormat="1" applyFont="1" applyFill="1" applyBorder="1" applyAlignment="1">
      <alignment horizontal="center" vertical="center"/>
    </xf>
    <xf numFmtId="166" fontId="9" fillId="52" borderId="5" xfId="0" applyNumberFormat="1" applyFont="1" applyFill="1" applyBorder="1" applyAlignment="1">
      <alignment horizontal="center" vertical="center" readingOrder="1"/>
    </xf>
    <xf numFmtId="167" fontId="2" fillId="37" borderId="5" xfId="0" applyNumberFormat="1" applyFont="1" applyFill="1" applyBorder="1" applyAlignment="1">
      <alignment horizontal="center" vertical="center" readingOrder="1"/>
    </xf>
    <xf numFmtId="166" fontId="22" fillId="21" borderId="5" xfId="3" applyNumberFormat="1" applyFont="1" applyFill="1" applyBorder="1" applyAlignment="1">
      <alignment horizontal="center" vertical="center"/>
    </xf>
    <xf numFmtId="166" fontId="68" fillId="2" borderId="0" xfId="0" applyNumberFormat="1" applyFont="1" applyFill="1"/>
    <xf numFmtId="166" fontId="22" fillId="2" borderId="5" xfId="3" applyNumberFormat="1" applyFont="1" applyFill="1" applyBorder="1" applyAlignment="1">
      <alignment horizontal="center" vertical="center"/>
    </xf>
    <xf numFmtId="166" fontId="2" fillId="54" borderId="3" xfId="0" applyNumberFormat="1" applyFont="1" applyFill="1" applyBorder="1" applyAlignment="1">
      <alignment horizontal="center" vertical="center" readingOrder="1"/>
    </xf>
    <xf numFmtId="0" fontId="8" fillId="7" borderId="5" xfId="0" applyFont="1" applyFill="1" applyBorder="1" applyAlignment="1">
      <alignment horizontal="left" vertical="center" readingOrder="1"/>
    </xf>
    <xf numFmtId="0" fontId="12" fillId="2" borderId="4" xfId="0" applyFont="1" applyFill="1" applyBorder="1" applyAlignment="1">
      <alignment vertical="center" readingOrder="1"/>
    </xf>
    <xf numFmtId="0" fontId="12" fillId="2" borderId="49" xfId="0" applyFont="1" applyFill="1" applyBorder="1" applyAlignment="1">
      <alignment vertical="center" readingOrder="1"/>
    </xf>
    <xf numFmtId="9" fontId="69" fillId="20" borderId="5" xfId="3" applyFont="1" applyFill="1" applyBorder="1" applyAlignment="1">
      <alignment horizontal="center" vertical="center"/>
    </xf>
    <xf numFmtId="166" fontId="69" fillId="20" borderId="5" xfId="3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vertical="center" readingOrder="1"/>
    </xf>
    <xf numFmtId="2" fontId="0" fillId="2" borderId="0" xfId="0" applyNumberFormat="1" applyFill="1"/>
    <xf numFmtId="3" fontId="0" fillId="2" borderId="0" xfId="0" applyNumberFormat="1" applyFill="1"/>
    <xf numFmtId="166" fontId="9" fillId="2" borderId="0" xfId="0" applyNumberFormat="1" applyFont="1" applyFill="1" applyAlignment="1">
      <alignment horizontal="center" vertical="center" readingOrder="1"/>
    </xf>
    <xf numFmtId="166" fontId="13" fillId="2" borderId="0" xfId="0" applyNumberFormat="1" applyFont="1" applyFill="1" applyAlignment="1">
      <alignment vertical="center" readingOrder="1"/>
    </xf>
    <xf numFmtId="9" fontId="22" fillId="2" borderId="0" xfId="3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center" readingOrder="1"/>
    </xf>
    <xf numFmtId="166" fontId="69" fillId="2" borderId="0" xfId="3" applyNumberFormat="1" applyFont="1" applyFill="1" applyBorder="1" applyAlignment="1">
      <alignment horizontal="center" vertical="center"/>
    </xf>
    <xf numFmtId="166" fontId="26" fillId="2" borderId="0" xfId="3" applyNumberFormat="1" applyFont="1" applyFill="1" applyBorder="1" applyAlignment="1">
      <alignment horizontal="center" vertical="center"/>
    </xf>
    <xf numFmtId="9" fontId="0" fillId="2" borderId="0" xfId="1" applyFont="1" applyFill="1"/>
    <xf numFmtId="4" fontId="27" fillId="37" borderId="137" xfId="0" applyNumberFormat="1" applyFont="1" applyFill="1" applyBorder="1" applyAlignment="1">
      <alignment horizontal="center" vertical="center" readingOrder="1"/>
    </xf>
    <xf numFmtId="4" fontId="28" fillId="37" borderId="137" xfId="0" applyNumberFormat="1" applyFont="1" applyFill="1" applyBorder="1" applyAlignment="1">
      <alignment horizontal="center" vertical="center" readingOrder="1"/>
    </xf>
    <xf numFmtId="165" fontId="22" fillId="37" borderId="137" xfId="8" applyNumberFormat="1" applyFont="1" applyFill="1" applyBorder="1"/>
    <xf numFmtId="9" fontId="22" fillId="37" borderId="137" xfId="1" applyFont="1" applyFill="1" applyBorder="1" applyAlignment="1">
      <alignment horizontal="center"/>
    </xf>
    <xf numFmtId="2" fontId="22" fillId="37" borderId="137" xfId="0" applyNumberFormat="1" applyFont="1" applyFill="1" applyBorder="1" applyAlignment="1">
      <alignment horizontal="center"/>
    </xf>
    <xf numFmtId="0" fontId="1" fillId="11" borderId="5" xfId="0" applyFont="1" applyFill="1" applyBorder="1" applyAlignment="1">
      <alignment horizontal="center" vertical="center" wrapText="1" readingOrder="1"/>
    </xf>
    <xf numFmtId="0" fontId="28" fillId="2" borderId="4" xfId="0" applyFont="1" applyFill="1" applyBorder="1" applyAlignment="1">
      <alignment vertical="center" readingOrder="1"/>
    </xf>
    <xf numFmtId="4" fontId="61" fillId="2" borderId="0" xfId="0" applyNumberFormat="1" applyFont="1" applyFill="1" applyAlignment="1">
      <alignment vertical="center" readingOrder="1"/>
    </xf>
    <xf numFmtId="4" fontId="62" fillId="2" borderId="0" xfId="0" applyNumberFormat="1" applyFont="1" applyFill="1"/>
    <xf numFmtId="10" fontId="0" fillId="2" borderId="0" xfId="0" applyNumberFormat="1" applyFill="1" applyAlignment="1">
      <alignment horizontal="left"/>
    </xf>
    <xf numFmtId="10" fontId="0" fillId="2" borderId="0" xfId="0" applyNumberFormat="1" applyFill="1"/>
    <xf numFmtId="165" fontId="0" fillId="2" borderId="0" xfId="0" applyNumberFormat="1" applyFill="1"/>
    <xf numFmtId="4" fontId="1" fillId="11" borderId="100" xfId="0" applyNumberFormat="1" applyFont="1" applyFill="1" applyBorder="1" applyAlignment="1">
      <alignment horizontal="center" vertical="center" readingOrder="1"/>
    </xf>
    <xf numFmtId="0" fontId="1" fillId="33" borderId="5" xfId="0" applyFont="1" applyFill="1" applyBorder="1" applyAlignment="1">
      <alignment horizontal="center" vertical="center" wrapText="1" readingOrder="1"/>
    </xf>
    <xf numFmtId="0" fontId="2" fillId="32" borderId="5" xfId="0" applyFont="1" applyFill="1" applyBorder="1" applyAlignment="1">
      <alignment vertical="center" readingOrder="1"/>
    </xf>
    <xf numFmtId="0" fontId="9" fillId="55" borderId="5" xfId="0" applyFont="1" applyFill="1" applyBorder="1" applyAlignment="1">
      <alignment horizontal="center" vertical="center" wrapText="1"/>
    </xf>
    <xf numFmtId="0" fontId="12" fillId="20" borderId="5" xfId="0" applyFont="1" applyFill="1" applyBorder="1" applyAlignment="1">
      <alignment horizontal="center" vertical="center" wrapText="1" readingOrder="1"/>
    </xf>
    <xf numFmtId="0" fontId="72" fillId="2" borderId="5" xfId="2" applyFont="1" applyFill="1" applyBorder="1" applyAlignment="1">
      <alignment horizontal="center" vertical="center"/>
    </xf>
    <xf numFmtId="4" fontId="22" fillId="16" borderId="7" xfId="0" applyNumberFormat="1" applyFont="1" applyFill="1" applyBorder="1" applyAlignment="1">
      <alignment horizontal="center"/>
    </xf>
    <xf numFmtId="4" fontId="2" fillId="16" borderId="5" xfId="0" applyNumberFormat="1" applyFont="1" applyFill="1" applyBorder="1" applyAlignment="1">
      <alignment horizontal="center" vertical="center" readingOrder="1"/>
    </xf>
    <xf numFmtId="4" fontId="2" fillId="16" borderId="7" xfId="0" applyNumberFormat="1" applyFont="1" applyFill="1" applyBorder="1" applyAlignment="1">
      <alignment horizontal="center" vertical="center" readingOrder="1"/>
    </xf>
    <xf numFmtId="4" fontId="2" fillId="16" borderId="138" xfId="0" applyNumberFormat="1" applyFont="1" applyFill="1" applyBorder="1" applyAlignment="1">
      <alignment horizontal="center" vertical="center" readingOrder="1"/>
    </xf>
    <xf numFmtId="4" fontId="22" fillId="47" borderId="7" xfId="0" applyNumberFormat="1" applyFont="1" applyFill="1" applyBorder="1" applyAlignment="1">
      <alignment horizontal="center"/>
    </xf>
    <xf numFmtId="4" fontId="2" fillId="47" borderId="7" xfId="0" applyNumberFormat="1" applyFont="1" applyFill="1" applyBorder="1" applyAlignment="1">
      <alignment horizontal="center" vertical="center" readingOrder="1"/>
    </xf>
    <xf numFmtId="4" fontId="2" fillId="47" borderId="138" xfId="0" applyNumberFormat="1" applyFont="1" applyFill="1" applyBorder="1" applyAlignment="1">
      <alignment horizontal="center" vertical="center" readingOrder="1"/>
    </xf>
    <xf numFmtId="10" fontId="26" fillId="20" borderId="7" xfId="2" applyNumberFormat="1" applyFont="1" applyFill="1" applyBorder="1" applyAlignment="1">
      <alignment horizontal="left" vertical="center"/>
    </xf>
    <xf numFmtId="4" fontId="2" fillId="16" borderId="3" xfId="0" applyNumberFormat="1" applyFont="1" applyFill="1" applyBorder="1" applyAlignment="1">
      <alignment horizontal="center" vertical="center" readingOrder="1"/>
    </xf>
    <xf numFmtId="4" fontId="2" fillId="47" borderId="3" xfId="0" applyNumberFormat="1" applyFont="1" applyFill="1" applyBorder="1" applyAlignment="1">
      <alignment horizontal="center" vertical="center" readingOrder="1"/>
    </xf>
    <xf numFmtId="10" fontId="26" fillId="20" borderId="3" xfId="2" applyNumberFormat="1" applyFont="1" applyFill="1" applyBorder="1" applyAlignment="1">
      <alignment horizontal="left" vertical="center"/>
    </xf>
    <xf numFmtId="4" fontId="2" fillId="16" borderId="139" xfId="0" applyNumberFormat="1" applyFont="1" applyFill="1" applyBorder="1" applyAlignment="1">
      <alignment horizontal="center" vertical="center" readingOrder="1"/>
    </xf>
    <xf numFmtId="4" fontId="2" fillId="47" borderId="139" xfId="0" applyNumberFormat="1" applyFont="1" applyFill="1" applyBorder="1" applyAlignment="1">
      <alignment horizontal="center" vertical="center" readingOrder="1"/>
    </xf>
    <xf numFmtId="166" fontId="9" fillId="16" borderId="140" xfId="0" applyNumberFormat="1" applyFont="1" applyFill="1" applyBorder="1" applyAlignment="1">
      <alignment vertical="center" readingOrder="1"/>
    </xf>
    <xf numFmtId="166" fontId="9" fillId="47" borderId="140" xfId="0" applyNumberFormat="1" applyFont="1" applyFill="1" applyBorder="1" applyAlignment="1">
      <alignment vertical="center" readingOrder="1"/>
    </xf>
    <xf numFmtId="166" fontId="8" fillId="29" borderId="142" xfId="0" applyNumberFormat="1" applyFont="1" applyFill="1" applyBorder="1" applyAlignment="1">
      <alignment horizontal="center" vertical="center" readingOrder="1"/>
    </xf>
    <xf numFmtId="166" fontId="2" fillId="49" borderId="142" xfId="0" applyNumberFormat="1" applyFont="1" applyFill="1" applyBorder="1" applyAlignment="1">
      <alignment horizontal="center" vertical="center" readingOrder="1"/>
    </xf>
    <xf numFmtId="4" fontId="2" fillId="15" borderId="143" xfId="0" applyNumberFormat="1" applyFont="1" applyFill="1" applyBorder="1" applyAlignment="1">
      <alignment horizontal="center" vertical="center" readingOrder="1"/>
    </xf>
    <xf numFmtId="166" fontId="8" fillId="29" borderId="143" xfId="0" applyNumberFormat="1" applyFont="1" applyFill="1" applyBorder="1" applyAlignment="1">
      <alignment horizontal="center" vertical="center" readingOrder="1"/>
    </xf>
    <xf numFmtId="166" fontId="2" fillId="49" borderId="143" xfId="0" applyNumberFormat="1" applyFont="1" applyFill="1" applyBorder="1" applyAlignment="1">
      <alignment horizontal="center" vertical="center" readingOrder="1"/>
    </xf>
    <xf numFmtId="166" fontId="9" fillId="15" borderId="142" xfId="0" applyNumberFormat="1" applyFont="1" applyFill="1" applyBorder="1" applyAlignment="1">
      <alignment horizontal="center" vertical="center" readingOrder="1"/>
    </xf>
    <xf numFmtId="4" fontId="2" fillId="15" borderId="142" xfId="0" applyNumberFormat="1" applyFont="1" applyFill="1" applyBorder="1" applyAlignment="1">
      <alignment horizontal="center" vertical="center" readingOrder="1"/>
    </xf>
    <xf numFmtId="0" fontId="74" fillId="25" borderId="0" xfId="0" applyFont="1" applyFill="1"/>
    <xf numFmtId="0" fontId="75" fillId="25" borderId="0" xfId="12" applyFont="1" applyFill="1"/>
    <xf numFmtId="0" fontId="76" fillId="25" borderId="0" xfId="0" applyFont="1" applyFill="1"/>
    <xf numFmtId="0" fontId="77" fillId="33" borderId="5" xfId="0" applyFont="1" applyFill="1" applyBorder="1" applyAlignment="1">
      <alignment horizontal="center" vertical="center" readingOrder="1"/>
    </xf>
    <xf numFmtId="0" fontId="77" fillId="34" borderId="5" xfId="0" applyFont="1" applyFill="1" applyBorder="1" applyAlignment="1">
      <alignment horizontal="center" vertical="center" readingOrder="1"/>
    </xf>
    <xf numFmtId="0" fontId="9" fillId="48" borderId="5" xfId="0" applyFont="1" applyFill="1" applyBorder="1" applyAlignment="1">
      <alignment horizontal="center" vertical="center" wrapText="1"/>
    </xf>
    <xf numFmtId="0" fontId="28" fillId="48" borderId="5" xfId="0" applyFont="1" applyFill="1" applyBorder="1" applyAlignment="1">
      <alignment horizontal="center" vertical="center" wrapText="1"/>
    </xf>
    <xf numFmtId="0" fontId="1" fillId="56" borderId="5" xfId="0" applyFont="1" applyFill="1" applyBorder="1" applyAlignment="1">
      <alignment horizontal="center" vertical="center" wrapText="1"/>
    </xf>
    <xf numFmtId="0" fontId="1" fillId="56" borderId="5" xfId="0" applyFont="1" applyFill="1" applyBorder="1" applyAlignment="1">
      <alignment horizontal="center" vertical="center"/>
    </xf>
    <xf numFmtId="0" fontId="12" fillId="20" borderId="5" xfId="0" applyFont="1" applyFill="1" applyBorder="1" applyAlignment="1">
      <alignment horizontal="center" vertical="center" wrapText="1"/>
    </xf>
    <xf numFmtId="0" fontId="1" fillId="56" borderId="5" xfId="0" applyFont="1" applyFill="1" applyBorder="1" applyAlignment="1">
      <alignment horizontal="center" vertical="center" readingOrder="1"/>
    </xf>
    <xf numFmtId="0" fontId="5" fillId="11" borderId="5" xfId="0" applyFont="1" applyFill="1" applyBorder="1" applyAlignment="1">
      <alignment horizontal="center" vertical="center" wrapText="1" readingOrder="1"/>
    </xf>
    <xf numFmtId="0" fontId="5" fillId="11" borderId="5" xfId="0" applyFont="1" applyFill="1" applyBorder="1" applyAlignment="1">
      <alignment horizontal="center" vertical="center" readingOrder="1"/>
    </xf>
    <xf numFmtId="0" fontId="45" fillId="34" borderId="65" xfId="0" applyFont="1" applyFill="1" applyBorder="1" applyAlignment="1">
      <alignment horizontal="center" vertical="center" textRotation="90" wrapText="1"/>
    </xf>
    <xf numFmtId="0" fontId="46" fillId="39" borderId="68" xfId="0" applyFont="1" applyFill="1" applyBorder="1" applyAlignment="1">
      <alignment horizontal="center" vertical="center" wrapText="1"/>
    </xf>
    <xf numFmtId="0" fontId="46" fillId="39" borderId="69" xfId="0" applyFont="1" applyFill="1" applyBorder="1" applyAlignment="1">
      <alignment horizontal="center" vertical="center" wrapText="1"/>
    </xf>
    <xf numFmtId="0" fontId="48" fillId="40" borderId="70" xfId="0" applyFont="1" applyFill="1" applyBorder="1" applyAlignment="1">
      <alignment horizontal="center" vertical="center" wrapText="1"/>
    </xf>
    <xf numFmtId="0" fontId="48" fillId="40" borderId="74" xfId="0" applyFont="1" applyFill="1" applyBorder="1" applyAlignment="1">
      <alignment horizontal="center" vertical="center" wrapText="1"/>
    </xf>
    <xf numFmtId="0" fontId="48" fillId="40" borderId="81" xfId="0" applyFont="1" applyFill="1" applyBorder="1" applyAlignment="1">
      <alignment horizontal="center" vertical="center" wrapText="1"/>
    </xf>
    <xf numFmtId="0" fontId="48" fillId="32" borderId="71" xfId="0" applyFont="1" applyFill="1" applyBorder="1" applyAlignment="1">
      <alignment horizontal="center" vertical="center" wrapText="1"/>
    </xf>
    <xf numFmtId="0" fontId="48" fillId="32" borderId="75" xfId="0" applyFont="1" applyFill="1" applyBorder="1" applyAlignment="1">
      <alignment horizontal="center" vertical="center" wrapText="1"/>
    </xf>
    <xf numFmtId="0" fontId="49" fillId="25" borderId="72" xfId="0" applyFont="1" applyFill="1" applyBorder="1" applyAlignment="1">
      <alignment horizontal="left" vertical="center" wrapText="1"/>
    </xf>
    <xf numFmtId="0" fontId="49" fillId="25" borderId="73" xfId="0" applyFont="1" applyFill="1" applyBorder="1" applyAlignment="1">
      <alignment horizontal="left" vertical="center" wrapText="1"/>
    </xf>
    <xf numFmtId="0" fontId="49" fillId="25" borderId="76" xfId="0" applyFont="1" applyFill="1" applyBorder="1" applyAlignment="1">
      <alignment horizontal="left" vertical="center" wrapText="1"/>
    </xf>
    <xf numFmtId="0" fontId="49" fillId="25" borderId="77" xfId="0" applyFont="1" applyFill="1" applyBorder="1" applyAlignment="1">
      <alignment horizontal="left" vertical="center" wrapText="1"/>
    </xf>
    <xf numFmtId="0" fontId="48" fillId="32" borderId="78" xfId="0" applyFont="1" applyFill="1" applyBorder="1" applyAlignment="1">
      <alignment horizontal="center" vertical="center" wrapText="1"/>
    </xf>
    <xf numFmtId="0" fontId="48" fillId="32" borderId="82" xfId="0" applyFont="1" applyFill="1" applyBorder="1" applyAlignment="1">
      <alignment horizontal="center" vertical="center" wrapText="1"/>
    </xf>
    <xf numFmtId="0" fontId="49" fillId="25" borderId="79" xfId="0" applyFont="1" applyFill="1" applyBorder="1" applyAlignment="1">
      <alignment horizontal="left" vertical="center" wrapText="1"/>
    </xf>
    <xf numFmtId="0" fontId="49" fillId="25" borderId="80" xfId="0" applyFont="1" applyFill="1" applyBorder="1" applyAlignment="1">
      <alignment horizontal="left" vertical="center" wrapText="1"/>
    </xf>
    <xf numFmtId="0" fontId="49" fillId="25" borderId="83" xfId="0" applyFont="1" applyFill="1" applyBorder="1" applyAlignment="1">
      <alignment horizontal="left" vertical="center" wrapText="1"/>
    </xf>
    <xf numFmtId="0" fontId="49" fillId="25" borderId="84" xfId="0" applyFont="1" applyFill="1" applyBorder="1" applyAlignment="1">
      <alignment horizontal="left" vertical="center" wrapText="1"/>
    </xf>
    <xf numFmtId="0" fontId="48" fillId="40" borderId="85" xfId="0" applyFont="1" applyFill="1" applyBorder="1" applyAlignment="1">
      <alignment horizontal="center" vertical="center" wrapText="1"/>
    </xf>
    <xf numFmtId="0" fontId="48" fillId="40" borderId="89" xfId="0" applyFont="1" applyFill="1" applyBorder="1" applyAlignment="1">
      <alignment horizontal="center" vertical="center" wrapText="1"/>
    </xf>
    <xf numFmtId="0" fontId="49" fillId="25" borderId="87" xfId="0" applyFont="1" applyFill="1" applyBorder="1" applyAlignment="1">
      <alignment horizontal="left" vertical="center"/>
    </xf>
    <xf numFmtId="0" fontId="49" fillId="25" borderId="88" xfId="0" applyFont="1" applyFill="1" applyBorder="1" applyAlignment="1">
      <alignment horizontal="left" vertical="center"/>
    </xf>
    <xf numFmtId="0" fontId="49" fillId="25" borderId="91" xfId="0" applyFont="1" applyFill="1" applyBorder="1" applyAlignment="1">
      <alignment horizontal="left" vertical="center" wrapText="1"/>
    </xf>
    <xf numFmtId="0" fontId="49" fillId="25" borderId="92" xfId="0" applyFont="1" applyFill="1" applyBorder="1" applyAlignment="1">
      <alignment horizontal="left" vertical="center" wrapText="1"/>
    </xf>
    <xf numFmtId="0" fontId="48" fillId="32" borderId="93" xfId="0" applyFont="1" applyFill="1" applyBorder="1" applyAlignment="1">
      <alignment horizontal="center" vertical="center" wrapText="1"/>
    </xf>
    <xf numFmtId="0" fontId="49" fillId="25" borderId="94" xfId="0" applyFont="1" applyFill="1" applyBorder="1" applyAlignment="1">
      <alignment horizontal="left" vertical="center" wrapText="1"/>
    </xf>
    <xf numFmtId="0" fontId="49" fillId="25" borderId="95" xfId="0" applyFont="1" applyFill="1" applyBorder="1" applyAlignment="1">
      <alignment horizontal="left" vertical="center" wrapText="1"/>
    </xf>
    <xf numFmtId="0" fontId="49" fillId="25" borderId="76" xfId="0" applyFont="1" applyFill="1" applyBorder="1" applyAlignment="1">
      <alignment horizontal="left" vertical="center"/>
    </xf>
    <xf numFmtId="0" fontId="49" fillId="25" borderId="77" xfId="0" applyFont="1" applyFill="1" applyBorder="1" applyAlignment="1">
      <alignment horizontal="left" vertical="center"/>
    </xf>
    <xf numFmtId="0" fontId="48" fillId="32" borderId="96" xfId="0" applyFont="1" applyFill="1" applyBorder="1" applyAlignment="1">
      <alignment horizontal="center" vertical="center" wrapText="1"/>
    </xf>
    <xf numFmtId="0" fontId="49" fillId="25" borderId="97" xfId="0" applyFont="1" applyFill="1" applyBorder="1" applyAlignment="1">
      <alignment horizontal="left" vertical="center" wrapText="1"/>
    </xf>
    <xf numFmtId="0" fontId="49" fillId="25" borderId="98" xfId="0" applyFont="1" applyFill="1" applyBorder="1" applyAlignment="1">
      <alignment horizontal="left" vertical="center" wrapText="1"/>
    </xf>
    <xf numFmtId="0" fontId="49" fillId="25" borderId="83" xfId="0" applyFont="1" applyFill="1" applyBorder="1" applyAlignment="1">
      <alignment horizontal="left" vertical="center"/>
    </xf>
    <xf numFmtId="0" fontId="49" fillId="25" borderId="84" xfId="0" applyFont="1" applyFill="1" applyBorder="1" applyAlignment="1">
      <alignment horizontal="left" vertical="center"/>
    </xf>
    <xf numFmtId="0" fontId="49" fillId="25" borderId="87" xfId="0" applyFont="1" applyFill="1" applyBorder="1" applyAlignment="1">
      <alignment horizontal="left" vertical="center" wrapText="1"/>
    </xf>
    <xf numFmtId="0" fontId="49" fillId="25" borderId="88" xfId="0" applyFont="1" applyFill="1" applyBorder="1" applyAlignment="1">
      <alignment horizontal="left" vertical="center" wrapText="1"/>
    </xf>
    <xf numFmtId="0" fontId="49" fillId="25" borderId="94" xfId="0" applyFont="1" applyFill="1" applyBorder="1" applyAlignment="1">
      <alignment horizontal="left" vertical="center"/>
    </xf>
    <xf numFmtId="0" fontId="49" fillId="25" borderId="95" xfId="0" applyFont="1" applyFill="1" applyBorder="1" applyAlignment="1">
      <alignment horizontal="left" vertical="center"/>
    </xf>
    <xf numFmtId="0" fontId="49" fillId="25" borderId="79" xfId="0" applyFont="1" applyFill="1" applyBorder="1" applyAlignment="1">
      <alignment horizontal="left" vertical="center"/>
    </xf>
    <xf numFmtId="0" fontId="49" fillId="25" borderId="80" xfId="0" applyFont="1" applyFill="1" applyBorder="1" applyAlignment="1">
      <alignment horizontal="left" vertical="center"/>
    </xf>
    <xf numFmtId="0" fontId="1" fillId="14" borderId="26" xfId="0" applyFont="1" applyFill="1" applyBorder="1" applyAlignment="1">
      <alignment horizontal="center" vertical="center" readingOrder="1"/>
    </xf>
    <xf numFmtId="0" fontId="3" fillId="21" borderId="22" xfId="0" applyFont="1" applyFill="1" applyBorder="1" applyAlignment="1">
      <alignment horizontal="center" vertical="center" readingOrder="1"/>
    </xf>
    <xf numFmtId="0" fontId="3" fillId="21" borderId="23" xfId="0" applyFont="1" applyFill="1" applyBorder="1" applyAlignment="1">
      <alignment horizontal="center" vertical="center" readingOrder="1"/>
    </xf>
    <xf numFmtId="0" fontId="2" fillId="15" borderId="112" xfId="0" applyFont="1" applyFill="1" applyBorder="1" applyAlignment="1">
      <alignment horizontal="center" vertical="center" readingOrder="1"/>
    </xf>
    <xf numFmtId="0" fontId="2" fillId="15" borderId="18" xfId="0" applyFont="1" applyFill="1" applyBorder="1" applyAlignment="1">
      <alignment horizontal="center" vertical="center" readingOrder="1"/>
    </xf>
    <xf numFmtId="0" fontId="39" fillId="21" borderId="49" xfId="0" applyFont="1" applyFill="1" applyBorder="1" applyAlignment="1">
      <alignment horizontal="center"/>
    </xf>
    <xf numFmtId="166" fontId="1" fillId="11" borderId="6" xfId="0" applyNumberFormat="1" applyFont="1" applyFill="1" applyBorder="1" applyAlignment="1">
      <alignment horizontal="right" vertical="center" readingOrder="1"/>
    </xf>
    <xf numFmtId="166" fontId="1" fillId="11" borderId="1" xfId="0" applyNumberFormat="1" applyFont="1" applyFill="1" applyBorder="1" applyAlignment="1">
      <alignment horizontal="right" vertical="center" readingOrder="1"/>
    </xf>
    <xf numFmtId="166" fontId="1" fillId="11" borderId="9" xfId="0" applyNumberFormat="1" applyFont="1" applyFill="1" applyBorder="1" applyAlignment="1">
      <alignment horizontal="right" vertical="center" readingOrder="1"/>
    </xf>
    <xf numFmtId="0" fontId="59" fillId="21" borderId="49" xfId="0" applyFont="1" applyFill="1" applyBorder="1" applyAlignment="1">
      <alignment horizontal="center" vertical="center" readingOrder="1"/>
    </xf>
    <xf numFmtId="0" fontId="3" fillId="21" borderId="49" xfId="0" applyFont="1" applyFill="1" applyBorder="1" applyAlignment="1">
      <alignment horizontal="center" vertical="center" readingOrder="1"/>
    </xf>
    <xf numFmtId="0" fontId="1" fillId="11" borderId="6" xfId="0" applyFont="1" applyFill="1" applyBorder="1" applyAlignment="1">
      <alignment horizontal="center" vertical="center" readingOrder="1"/>
    </xf>
    <xf numFmtId="0" fontId="1" fillId="11" borderId="1" xfId="0" applyFont="1" applyFill="1" applyBorder="1" applyAlignment="1">
      <alignment horizontal="center" vertical="center" readingOrder="1"/>
    </xf>
    <xf numFmtId="0" fontId="1" fillId="11" borderId="9" xfId="0" applyFont="1" applyFill="1" applyBorder="1" applyAlignment="1">
      <alignment horizontal="center" vertical="center" readingOrder="1"/>
    </xf>
    <xf numFmtId="0" fontId="1" fillId="11" borderId="136" xfId="0" applyFont="1" applyFill="1" applyBorder="1" applyAlignment="1">
      <alignment horizontal="center" vertical="center" readingOrder="1"/>
    </xf>
    <xf numFmtId="0" fontId="1" fillId="11" borderId="10" xfId="0" applyFont="1" applyFill="1" applyBorder="1" applyAlignment="1">
      <alignment horizontal="center" vertical="center" readingOrder="1"/>
    </xf>
    <xf numFmtId="0" fontId="2" fillId="15" borderId="2" xfId="0" applyFont="1" applyFill="1" applyBorder="1" applyAlignment="1">
      <alignment horizontal="center" vertical="center" readingOrder="1"/>
    </xf>
    <xf numFmtId="0" fontId="2" fillId="15" borderId="12" xfId="0" applyFont="1" applyFill="1" applyBorder="1" applyAlignment="1">
      <alignment horizontal="center" vertical="center" readingOrder="1"/>
    </xf>
    <xf numFmtId="0" fontId="2" fillId="15" borderId="5" xfId="0" applyFont="1" applyFill="1" applyBorder="1" applyAlignment="1">
      <alignment horizontal="center" vertical="center" readingOrder="1"/>
    </xf>
    <xf numFmtId="0" fontId="2" fillId="15" borderId="107" xfId="0" applyFont="1" applyFill="1" applyBorder="1" applyAlignment="1">
      <alignment horizontal="center" vertical="center" readingOrder="1"/>
    </xf>
    <xf numFmtId="0" fontId="2" fillId="15" borderId="3" xfId="0" applyFont="1" applyFill="1" applyBorder="1" applyAlignment="1">
      <alignment horizontal="center" vertical="center" readingOrder="1"/>
    </xf>
    <xf numFmtId="0" fontId="0" fillId="2" borderId="106" xfId="0" applyFill="1" applyBorder="1" applyAlignment="1">
      <alignment horizontal="center" wrapText="1"/>
    </xf>
    <xf numFmtId="0" fontId="3" fillId="21" borderId="0" xfId="0" applyFont="1" applyFill="1" applyAlignment="1">
      <alignment horizontal="center" vertical="center" readingOrder="1"/>
    </xf>
    <xf numFmtId="0" fontId="3" fillId="21" borderId="136" xfId="0" applyFont="1" applyFill="1" applyBorder="1" applyAlignment="1">
      <alignment horizontal="center" vertical="center" readingOrder="1"/>
    </xf>
    <xf numFmtId="0" fontId="9" fillId="20" borderId="7" xfId="0" applyFont="1" applyFill="1" applyBorder="1" applyAlignment="1">
      <alignment horizontal="left" vertical="center" readingOrder="1"/>
    </xf>
    <xf numFmtId="10" fontId="26" fillId="20" borderId="140" xfId="2" applyNumberFormat="1" applyFont="1" applyFill="1" applyBorder="1" applyAlignment="1">
      <alignment horizontal="left" vertical="center"/>
    </xf>
    <xf numFmtId="10" fontId="26" fillId="20" borderId="5" xfId="2" applyNumberFormat="1" applyFont="1" applyFill="1" applyBorder="1" applyAlignment="1">
      <alignment horizontal="left" vertical="center"/>
    </xf>
    <xf numFmtId="10" fontId="26" fillId="20" borderId="139" xfId="2" applyNumberFormat="1" applyFont="1" applyFill="1" applyBorder="1" applyAlignment="1">
      <alignment horizontal="left" vertical="center"/>
    </xf>
    <xf numFmtId="10" fontId="26" fillId="20" borderId="3" xfId="2" applyNumberFormat="1" applyFont="1" applyFill="1" applyBorder="1" applyAlignment="1">
      <alignment horizontal="left" vertical="center"/>
    </xf>
    <xf numFmtId="10" fontId="26" fillId="20" borderId="141" xfId="2" applyNumberFormat="1" applyFont="1" applyFill="1" applyBorder="1" applyAlignment="1">
      <alignment horizontal="left" vertical="center"/>
    </xf>
    <xf numFmtId="10" fontId="26" fillId="20" borderId="138" xfId="2" applyNumberFormat="1" applyFont="1" applyFill="1" applyBorder="1" applyAlignment="1">
      <alignment horizontal="left" vertical="center"/>
    </xf>
    <xf numFmtId="10" fontId="26" fillId="20" borderId="7" xfId="2" applyNumberFormat="1" applyFont="1" applyFill="1" applyBorder="1" applyAlignment="1">
      <alignment horizontal="left" vertical="center"/>
    </xf>
    <xf numFmtId="0" fontId="3" fillId="21" borderId="30" xfId="0" applyFont="1" applyFill="1" applyBorder="1" applyAlignment="1">
      <alignment horizontal="center" vertical="center" readingOrder="1"/>
    </xf>
    <xf numFmtId="0" fontId="3" fillId="21" borderId="31" xfId="0" applyFont="1" applyFill="1" applyBorder="1" applyAlignment="1">
      <alignment horizontal="center" vertical="center" readingOrder="1"/>
    </xf>
    <xf numFmtId="0" fontId="2" fillId="15" borderId="21" xfId="0" applyFont="1" applyFill="1" applyBorder="1" applyAlignment="1">
      <alignment horizontal="center" vertical="center" readingOrder="1"/>
    </xf>
    <xf numFmtId="0" fontId="3" fillId="21" borderId="26" xfId="0" applyFont="1" applyFill="1" applyBorder="1" applyAlignment="1">
      <alignment horizontal="center" vertical="center" readingOrder="1"/>
    </xf>
    <xf numFmtId="0" fontId="3" fillId="21" borderId="27" xfId="0" applyFont="1" applyFill="1" applyBorder="1" applyAlignment="1">
      <alignment horizontal="center" vertical="center" readingOrder="1"/>
    </xf>
    <xf numFmtId="0" fontId="1" fillId="11" borderId="99" xfId="0" applyFont="1" applyFill="1" applyBorder="1" applyAlignment="1">
      <alignment horizontal="center" vertical="center" readingOrder="1"/>
    </xf>
    <xf numFmtId="0" fontId="1" fillId="11" borderId="100" xfId="0" applyFont="1" applyFill="1" applyBorder="1" applyAlignment="1">
      <alignment horizontal="center" vertical="center" readingOrder="1"/>
    </xf>
    <xf numFmtId="0" fontId="19" fillId="45" borderId="7" xfId="0" applyFont="1" applyFill="1" applyBorder="1" applyAlignment="1">
      <alignment horizontal="center" vertical="center" readingOrder="1"/>
    </xf>
    <xf numFmtId="0" fontId="19" fillId="45" borderId="3" xfId="0" applyFont="1" applyFill="1" applyBorder="1" applyAlignment="1">
      <alignment horizontal="center" vertical="center" readingOrder="1"/>
    </xf>
    <xf numFmtId="0" fontId="13" fillId="2" borderId="26" xfId="0" applyFont="1" applyFill="1" applyBorder="1" applyAlignment="1">
      <alignment horizontal="left" vertical="center" readingOrder="1"/>
    </xf>
    <xf numFmtId="0" fontId="13" fillId="2" borderId="27" xfId="0" applyFont="1" applyFill="1" applyBorder="1" applyAlignment="1">
      <alignment horizontal="left" vertical="center" readingOrder="1"/>
    </xf>
    <xf numFmtId="0" fontId="13" fillId="2" borderId="29" xfId="0" applyFont="1" applyFill="1" applyBorder="1" applyAlignment="1">
      <alignment horizontal="left" vertical="center" readingOrder="1"/>
    </xf>
    <xf numFmtId="0" fontId="12" fillId="25" borderId="51" xfId="0" applyFont="1" applyFill="1" applyBorder="1" applyAlignment="1">
      <alignment horizontal="center" vertical="center" readingOrder="1"/>
    </xf>
    <xf numFmtId="0" fontId="12" fillId="25" borderId="52" xfId="0" applyFont="1" applyFill="1" applyBorder="1" applyAlignment="1">
      <alignment horizontal="center" vertical="center" readingOrder="1"/>
    </xf>
    <xf numFmtId="0" fontId="12" fillId="25" borderId="14" xfId="0" applyFont="1" applyFill="1" applyBorder="1" applyAlignment="1">
      <alignment horizontal="center" vertical="center" readingOrder="1"/>
    </xf>
    <xf numFmtId="0" fontId="14" fillId="32" borderId="5" xfId="0" applyFont="1" applyFill="1" applyBorder="1" applyAlignment="1">
      <alignment horizontal="center" vertical="center" readingOrder="1"/>
    </xf>
    <xf numFmtId="0" fontId="1" fillId="5" borderId="132" xfId="0" applyFont="1" applyFill="1" applyBorder="1" applyAlignment="1">
      <alignment horizontal="center" vertical="center" readingOrder="1"/>
    </xf>
    <xf numFmtId="0" fontId="1" fillId="5" borderId="9" xfId="0" applyFont="1" applyFill="1" applyBorder="1" applyAlignment="1">
      <alignment horizontal="center" vertical="center" readingOrder="1"/>
    </xf>
    <xf numFmtId="0" fontId="1" fillId="26" borderId="122" xfId="0" applyFont="1" applyFill="1" applyBorder="1" applyAlignment="1">
      <alignment horizontal="center" vertical="center" readingOrder="1"/>
    </xf>
    <xf numFmtId="0" fontId="1" fillId="26" borderId="1" xfId="0" applyFont="1" applyFill="1" applyBorder="1" applyAlignment="1">
      <alignment horizontal="center" vertical="center" readingOrder="1"/>
    </xf>
    <xf numFmtId="0" fontId="1" fillId="26" borderId="130" xfId="0" applyFont="1" applyFill="1" applyBorder="1" applyAlignment="1">
      <alignment horizontal="center" vertical="center" readingOrder="1"/>
    </xf>
    <xf numFmtId="0" fontId="12" fillId="25" borderId="131" xfId="0" applyFont="1" applyFill="1" applyBorder="1" applyAlignment="1">
      <alignment horizontal="center" vertical="center" readingOrder="1"/>
    </xf>
    <xf numFmtId="0" fontId="1" fillId="33" borderId="48" xfId="0" applyFont="1" applyFill="1" applyBorder="1" applyAlignment="1">
      <alignment horizontal="center" vertical="center" readingOrder="1"/>
    </xf>
    <xf numFmtId="0" fontId="1" fillId="33" borderId="117" xfId="0" applyFont="1" applyFill="1" applyBorder="1" applyAlignment="1">
      <alignment horizontal="center" vertical="center" readingOrder="1"/>
    </xf>
    <xf numFmtId="0" fontId="1" fillId="26" borderId="114" xfId="0" applyFont="1" applyFill="1" applyBorder="1" applyAlignment="1">
      <alignment horizontal="center" vertical="center" readingOrder="1"/>
    </xf>
    <xf numFmtId="0" fontId="1" fillId="26" borderId="115" xfId="0" applyFont="1" applyFill="1" applyBorder="1" applyAlignment="1">
      <alignment horizontal="center" vertical="center" readingOrder="1"/>
    </xf>
    <xf numFmtId="0" fontId="1" fillId="26" borderId="121" xfId="0" applyFont="1" applyFill="1" applyBorder="1" applyAlignment="1">
      <alignment horizontal="center" vertical="center" readingOrder="1"/>
    </xf>
    <xf numFmtId="0" fontId="1" fillId="26" borderId="9" xfId="0" applyFont="1" applyFill="1" applyBorder="1" applyAlignment="1">
      <alignment horizontal="center" vertical="center" readingOrder="1"/>
    </xf>
    <xf numFmtId="0" fontId="1" fillId="26" borderId="5" xfId="0" applyFont="1" applyFill="1" applyBorder="1" applyAlignment="1">
      <alignment horizontal="center" vertical="center" readingOrder="1"/>
    </xf>
    <xf numFmtId="0" fontId="1" fillId="26" borderId="104" xfId="0" applyFont="1" applyFill="1" applyBorder="1" applyAlignment="1">
      <alignment horizontal="center" vertical="center" readingOrder="1"/>
    </xf>
    <xf numFmtId="0" fontId="1" fillId="33" borderId="1" xfId="0" applyFont="1" applyFill="1" applyBorder="1" applyAlignment="1">
      <alignment horizontal="center" vertical="center" readingOrder="1"/>
    </xf>
    <xf numFmtId="0" fontId="1" fillId="33" borderId="105" xfId="0" applyFont="1" applyFill="1" applyBorder="1" applyAlignment="1">
      <alignment horizontal="center" vertical="center" readingOrder="1"/>
    </xf>
    <xf numFmtId="4" fontId="5" fillId="2" borderId="0" xfId="0" applyNumberFormat="1" applyFont="1" applyFill="1" applyAlignment="1">
      <alignment horizontal="center" vertical="center" readingOrder="1"/>
    </xf>
    <xf numFmtId="0" fontId="1" fillId="23" borderId="117" xfId="0" applyFont="1" applyFill="1" applyBorder="1" applyAlignment="1">
      <alignment horizontal="center" vertical="center" readingOrder="1"/>
    </xf>
    <xf numFmtId="0" fontId="1" fillId="23" borderId="5" xfId="0" applyFont="1" applyFill="1" applyBorder="1" applyAlignment="1">
      <alignment horizontal="center" vertical="center" readingOrder="1"/>
    </xf>
    <xf numFmtId="0" fontId="1" fillId="5" borderId="105" xfId="0" applyFont="1" applyFill="1" applyBorder="1" applyAlignment="1">
      <alignment horizontal="center" vertical="center" readingOrder="1"/>
    </xf>
    <xf numFmtId="0" fontId="1" fillId="5" borderId="1" xfId="0" applyFont="1" applyFill="1" applyBorder="1" applyAlignment="1">
      <alignment horizontal="center" vertical="center" readingOrder="1"/>
    </xf>
    <xf numFmtId="3" fontId="17" fillId="21" borderId="105" xfId="0" applyNumberFormat="1" applyFont="1" applyFill="1" applyBorder="1" applyAlignment="1">
      <alignment horizontal="center" vertical="center" readingOrder="1"/>
    </xf>
    <xf numFmtId="3" fontId="17" fillId="21" borderId="1" xfId="0" applyNumberFormat="1" applyFont="1" applyFill="1" applyBorder="1" applyAlignment="1">
      <alignment horizontal="center" vertical="center" readingOrder="1"/>
    </xf>
    <xf numFmtId="3" fontId="17" fillId="21" borderId="9" xfId="0" applyNumberFormat="1" applyFont="1" applyFill="1" applyBorder="1" applyAlignment="1">
      <alignment horizontal="center" vertical="center" readingOrder="1"/>
    </xf>
    <xf numFmtId="4" fontId="17" fillId="21" borderId="105" xfId="0" applyNumberFormat="1" applyFont="1" applyFill="1" applyBorder="1" applyAlignment="1">
      <alignment horizontal="center" vertical="center" readingOrder="1"/>
    </xf>
    <xf numFmtId="4" fontId="17" fillId="21" borderId="1" xfId="0" applyNumberFormat="1" applyFont="1" applyFill="1" applyBorder="1" applyAlignment="1">
      <alignment horizontal="center" vertical="center" readingOrder="1"/>
    </xf>
    <xf numFmtId="4" fontId="17" fillId="21" borderId="9" xfId="0" applyNumberFormat="1" applyFont="1" applyFill="1" applyBorder="1" applyAlignment="1">
      <alignment horizontal="center" vertical="center" readingOrder="1"/>
    </xf>
    <xf numFmtId="0" fontId="1" fillId="33" borderId="133" xfId="0" applyFont="1" applyFill="1" applyBorder="1" applyAlignment="1">
      <alignment horizontal="center" vertical="center" readingOrder="1"/>
    </xf>
    <xf numFmtId="0" fontId="1" fillId="33" borderId="134" xfId="0" applyFont="1" applyFill="1" applyBorder="1" applyAlignment="1">
      <alignment horizontal="center" vertical="center" readingOrder="1"/>
    </xf>
    <xf numFmtId="0" fontId="19" fillId="34" borderId="7" xfId="0" applyFont="1" applyFill="1" applyBorder="1" applyAlignment="1">
      <alignment horizontal="center" vertical="center" wrapText="1" readingOrder="1"/>
    </xf>
    <xf numFmtId="0" fontId="19" fillId="34" borderId="3" xfId="0" applyFont="1" applyFill="1" applyBorder="1" applyAlignment="1">
      <alignment horizontal="center" vertical="center" wrapText="1" readingOrder="1"/>
    </xf>
    <xf numFmtId="0" fontId="1" fillId="33" borderId="103" xfId="0" applyFont="1" applyFill="1" applyBorder="1" applyAlignment="1">
      <alignment horizontal="center" vertical="center" readingOrder="1"/>
    </xf>
    <xf numFmtId="0" fontId="1" fillId="33" borderId="116" xfId="0" applyFont="1" applyFill="1" applyBorder="1" applyAlignment="1">
      <alignment horizontal="center" vertical="center" readingOrder="1"/>
    </xf>
    <xf numFmtId="0" fontId="1" fillId="26" borderId="123" xfId="0" applyFont="1" applyFill="1" applyBorder="1" applyAlignment="1">
      <alignment horizontal="center" vertical="center" readingOrder="1"/>
    </xf>
    <xf numFmtId="0" fontId="1" fillId="34" borderId="117" xfId="0" applyFont="1" applyFill="1" applyBorder="1" applyAlignment="1">
      <alignment horizontal="center" vertical="center" readingOrder="1"/>
    </xf>
    <xf numFmtId="0" fontId="1" fillId="34" borderId="5" xfId="0" applyFont="1" applyFill="1" applyBorder="1" applyAlignment="1">
      <alignment horizontal="center" vertical="center" readingOrder="1"/>
    </xf>
    <xf numFmtId="0" fontId="1" fillId="34" borderId="6" xfId="0" applyFont="1" applyFill="1" applyBorder="1" applyAlignment="1">
      <alignment horizontal="center" vertical="center" readingOrder="1"/>
    </xf>
    <xf numFmtId="4" fontId="17" fillId="21" borderId="123" xfId="0" applyNumberFormat="1" applyFont="1" applyFill="1" applyBorder="1" applyAlignment="1">
      <alignment horizontal="center" vertical="center" readingOrder="1"/>
    </xf>
    <xf numFmtId="0" fontId="1" fillId="34" borderId="129" xfId="0" applyFont="1" applyFill="1" applyBorder="1" applyAlignment="1">
      <alignment horizontal="center" vertical="center" readingOrder="1"/>
    </xf>
    <xf numFmtId="0" fontId="1" fillId="34" borderId="1" xfId="0" applyFont="1" applyFill="1" applyBorder="1" applyAlignment="1">
      <alignment horizontal="center" vertical="center" readingOrder="1"/>
    </xf>
    <xf numFmtId="0" fontId="1" fillId="34" borderId="9" xfId="0" applyFont="1" applyFill="1" applyBorder="1" applyAlignment="1">
      <alignment horizontal="center" vertical="center" readingOrder="1"/>
    </xf>
    <xf numFmtId="0" fontId="16" fillId="26" borderId="5" xfId="0" applyFont="1" applyFill="1" applyBorder="1" applyAlignment="1">
      <alignment horizontal="center" vertical="center" wrapText="1" readingOrder="1"/>
    </xf>
    <xf numFmtId="0" fontId="19" fillId="26" borderId="5" xfId="0" applyFont="1" applyFill="1" applyBorder="1" applyAlignment="1">
      <alignment horizontal="center" vertical="center" readingOrder="1"/>
    </xf>
    <xf numFmtId="0" fontId="2" fillId="20" borderId="5" xfId="0" applyFont="1" applyFill="1" applyBorder="1" applyAlignment="1">
      <alignment horizontal="left" vertical="center" readingOrder="1"/>
    </xf>
    <xf numFmtId="0" fontId="12" fillId="37" borderId="6" xfId="0" applyFont="1" applyFill="1" applyBorder="1" applyAlignment="1">
      <alignment horizontal="center" vertical="center" wrapText="1" readingOrder="1"/>
    </xf>
    <xf numFmtId="0" fontId="3" fillId="21" borderId="5" xfId="0" applyFont="1" applyFill="1" applyBorder="1" applyAlignment="1">
      <alignment horizontal="left" vertical="center" readingOrder="1"/>
    </xf>
    <xf numFmtId="0" fontId="2" fillId="15" borderId="5" xfId="0" applyFont="1" applyFill="1" applyBorder="1" applyAlignment="1">
      <alignment horizontal="left" vertical="center" readingOrder="1"/>
    </xf>
    <xf numFmtId="0" fontId="1" fillId="5" borderId="5" xfId="0" applyFont="1" applyFill="1" applyBorder="1" applyAlignment="1">
      <alignment horizontal="left" vertical="center" readingOrder="1"/>
    </xf>
    <xf numFmtId="0" fontId="23" fillId="15" borderId="5" xfId="0" applyFont="1" applyFill="1" applyBorder="1" applyAlignment="1">
      <alignment horizontal="left" vertical="center" readingOrder="1"/>
    </xf>
    <xf numFmtId="0" fontId="3" fillId="21" borderId="135" xfId="0" applyFont="1" applyFill="1" applyBorder="1" applyAlignment="1">
      <alignment horizontal="center" vertical="center" readingOrder="1"/>
    </xf>
    <xf numFmtId="0" fontId="9" fillId="37" borderId="5" xfId="0" applyFont="1" applyFill="1" applyBorder="1" applyAlignment="1">
      <alignment horizontal="center" vertical="center" wrapText="1" readingOrder="1"/>
    </xf>
    <xf numFmtId="0" fontId="9" fillId="37" borderId="5" xfId="0" applyFont="1" applyFill="1" applyBorder="1" applyAlignment="1">
      <alignment horizontal="left" vertical="center" readingOrder="1"/>
    </xf>
    <xf numFmtId="0" fontId="12" fillId="48" borderId="5" xfId="0" applyFont="1" applyFill="1" applyBorder="1" applyAlignment="1">
      <alignment horizontal="center" vertical="center" wrapText="1" readingOrder="1"/>
    </xf>
    <xf numFmtId="0" fontId="2" fillId="15" borderId="5" xfId="0" applyFont="1" applyFill="1" applyBorder="1" applyAlignment="1">
      <alignment vertical="center" readingOrder="1"/>
    </xf>
    <xf numFmtId="0" fontId="1" fillId="14" borderId="5" xfId="0" applyFont="1" applyFill="1" applyBorder="1" applyAlignment="1">
      <alignment horizontal="center" vertical="center" readingOrder="1"/>
    </xf>
    <xf numFmtId="0" fontId="2" fillId="32" borderId="6" xfId="0" applyFont="1" applyFill="1" applyBorder="1" applyAlignment="1">
      <alignment horizontal="left" vertical="center" readingOrder="1"/>
    </xf>
    <xf numFmtId="0" fontId="12" fillId="21" borderId="6" xfId="0" applyFont="1" applyFill="1" applyBorder="1" applyAlignment="1">
      <alignment horizontal="left" vertical="center" readingOrder="1"/>
    </xf>
    <xf numFmtId="0" fontId="1" fillId="5" borderId="6" xfId="0" applyFont="1" applyFill="1" applyBorder="1" applyAlignment="1">
      <alignment horizontal="left" vertical="center" readingOrder="1"/>
    </xf>
    <xf numFmtId="0" fontId="1" fillId="2" borderId="6" xfId="0" applyFont="1" applyFill="1" applyBorder="1" applyAlignment="1">
      <alignment horizontal="center" vertical="center" readingOrder="1"/>
    </xf>
    <xf numFmtId="0" fontId="1" fillId="2" borderId="8" xfId="0" applyFont="1" applyFill="1" applyBorder="1" applyAlignment="1">
      <alignment horizontal="center" vertical="center" readingOrder="1"/>
    </xf>
    <xf numFmtId="0" fontId="1" fillId="26" borderId="6" xfId="0" applyFont="1" applyFill="1" applyBorder="1" applyAlignment="1">
      <alignment horizontal="center" vertical="center" readingOrder="1"/>
    </xf>
    <xf numFmtId="0" fontId="20" fillId="20" borderId="7" xfId="0" applyFont="1" applyFill="1" applyBorder="1" applyAlignment="1">
      <alignment horizontal="left" vertical="center" readingOrder="1"/>
    </xf>
    <xf numFmtId="0" fontId="20" fillId="37" borderId="5" xfId="0" applyFont="1" applyFill="1" applyBorder="1" applyAlignment="1">
      <alignment horizontal="left" vertical="center" readingOrder="1"/>
    </xf>
    <xf numFmtId="0" fontId="20" fillId="37" borderId="5" xfId="0" applyFont="1" applyFill="1" applyBorder="1" applyAlignment="1">
      <alignment horizontal="left" vertical="center" wrapText="1" readingOrder="1"/>
    </xf>
    <xf numFmtId="0" fontId="20" fillId="37" borderId="143" xfId="0" applyFont="1" applyFill="1" applyBorder="1" applyAlignment="1">
      <alignment horizontal="left" vertical="center" wrapText="1" readingOrder="1"/>
    </xf>
    <xf numFmtId="0" fontId="20" fillId="37" borderId="143" xfId="0" applyFont="1" applyFill="1" applyBorder="1" applyAlignment="1">
      <alignment horizontal="left" vertical="center" readingOrder="1"/>
    </xf>
    <xf numFmtId="0" fontId="12" fillId="21" borderId="5" xfId="0" applyFont="1" applyFill="1" applyBorder="1" applyAlignment="1">
      <alignment horizontal="center" vertical="center" readingOrder="1"/>
    </xf>
    <xf numFmtId="0" fontId="20" fillId="20" borderId="5" xfId="0" applyFont="1" applyFill="1" applyBorder="1" applyAlignment="1">
      <alignment horizontal="left" vertical="center" readingOrder="1"/>
    </xf>
    <xf numFmtId="0" fontId="20" fillId="37" borderId="142" xfId="0" applyFont="1" applyFill="1" applyBorder="1" applyAlignment="1">
      <alignment horizontal="center" vertical="center" wrapText="1" readingOrder="1"/>
    </xf>
    <xf numFmtId="0" fontId="20" fillId="37" borderId="5" xfId="0" applyFont="1" applyFill="1" applyBorder="1" applyAlignment="1">
      <alignment horizontal="center" vertical="center" wrapText="1" readingOrder="1"/>
    </xf>
    <xf numFmtId="0" fontId="20" fillId="37" borderId="143" xfId="0" applyFont="1" applyFill="1" applyBorder="1" applyAlignment="1">
      <alignment horizontal="center" vertical="center" wrapText="1" readingOrder="1"/>
    </xf>
    <xf numFmtId="0" fontId="20" fillId="37" borderId="142" xfId="0" applyFont="1" applyFill="1" applyBorder="1" applyAlignment="1">
      <alignment horizontal="left" vertical="center" readingOrder="1"/>
    </xf>
    <xf numFmtId="0" fontId="1" fillId="5" borderId="6" xfId="0" applyFont="1" applyFill="1" applyBorder="1" applyAlignment="1">
      <alignment horizontal="center" vertical="center" readingOrder="1"/>
    </xf>
    <xf numFmtId="0" fontId="1" fillId="34" borderId="47" xfId="0" applyFont="1" applyFill="1" applyBorder="1" applyAlignment="1">
      <alignment horizontal="center" vertical="center" readingOrder="1"/>
    </xf>
    <xf numFmtId="0" fontId="20" fillId="20" borderId="3" xfId="0" applyFont="1" applyFill="1" applyBorder="1" applyAlignment="1">
      <alignment horizontal="left" vertical="center" readingOrder="1"/>
    </xf>
    <xf numFmtId="0" fontId="1" fillId="5" borderId="5" xfId="0" applyFont="1" applyFill="1" applyBorder="1" applyAlignment="1">
      <alignment horizontal="center" vertical="center" readingOrder="1"/>
    </xf>
    <xf numFmtId="0" fontId="2" fillId="20" borderId="8" xfId="0" applyFont="1" applyFill="1" applyBorder="1" applyAlignment="1">
      <alignment horizontal="center" vertical="center" readingOrder="1"/>
    </xf>
    <xf numFmtId="0" fontId="1" fillId="34" borderId="111" xfId="0" applyFont="1" applyFill="1" applyBorder="1" applyAlignment="1">
      <alignment horizontal="center" vertical="center" readingOrder="1"/>
    </xf>
    <xf numFmtId="0" fontId="1" fillId="10" borderId="5" xfId="0" applyFont="1" applyFill="1" applyBorder="1" applyAlignment="1">
      <alignment horizontal="center" vertical="center" wrapText="1" readingOrder="1"/>
    </xf>
    <xf numFmtId="0" fontId="1" fillId="8" borderId="5" xfId="0" applyFont="1" applyFill="1" applyBorder="1" applyAlignment="1">
      <alignment horizontal="center" vertical="center" wrapText="1" readingOrder="1"/>
    </xf>
    <xf numFmtId="0" fontId="12" fillId="21" borderId="5" xfId="0" applyFont="1" applyFill="1" applyBorder="1" applyAlignment="1">
      <alignment horizontal="left" vertical="center" readingOrder="1"/>
    </xf>
    <xf numFmtId="0" fontId="2" fillId="32" borderId="5" xfId="0" applyFont="1" applyFill="1" applyBorder="1" applyAlignment="1">
      <alignment horizontal="left" vertical="center" readingOrder="1"/>
    </xf>
    <xf numFmtId="0" fontId="1" fillId="10" borderId="16" xfId="0" applyFont="1" applyFill="1" applyBorder="1" applyAlignment="1">
      <alignment horizontal="center" vertical="center" wrapText="1" readingOrder="1"/>
    </xf>
    <xf numFmtId="0" fontId="56" fillId="33" borderId="6" xfId="0" applyFont="1" applyFill="1" applyBorder="1" applyAlignment="1">
      <alignment horizontal="center"/>
    </xf>
    <xf numFmtId="0" fontId="2" fillId="20" borderId="5" xfId="0" applyFont="1" applyFill="1" applyBorder="1" applyAlignment="1">
      <alignment horizontal="center" vertical="center" readingOrder="1"/>
    </xf>
    <xf numFmtId="0" fontId="1" fillId="22" borderId="16" xfId="0" applyFont="1" applyFill="1" applyBorder="1" applyAlignment="1">
      <alignment horizontal="center" vertical="center" wrapText="1" readingOrder="1"/>
    </xf>
    <xf numFmtId="0" fontId="12" fillId="2" borderId="6" xfId="0" applyFont="1" applyFill="1" applyBorder="1" applyAlignment="1">
      <alignment horizontal="left" vertical="center" readingOrder="1"/>
    </xf>
    <xf numFmtId="0" fontId="2" fillId="20" borderId="6" xfId="0" applyFont="1" applyFill="1" applyBorder="1" applyAlignment="1">
      <alignment horizontal="left" vertical="center" readingOrder="1"/>
    </xf>
    <xf numFmtId="0" fontId="9" fillId="53" borderId="6" xfId="0" applyFont="1" applyFill="1" applyBorder="1" applyAlignment="1">
      <alignment horizontal="left" vertical="center" readingOrder="1"/>
    </xf>
    <xf numFmtId="0" fontId="9" fillId="53" borderId="1" xfId="0" applyFont="1" applyFill="1" applyBorder="1" applyAlignment="1">
      <alignment horizontal="left" vertical="center" readingOrder="1"/>
    </xf>
    <xf numFmtId="0" fontId="9" fillId="53" borderId="9" xfId="0" applyFont="1" applyFill="1" applyBorder="1" applyAlignment="1">
      <alignment horizontal="left" vertical="center" readingOrder="1"/>
    </xf>
    <xf numFmtId="0" fontId="9" fillId="20" borderId="6" xfId="0" applyFont="1" applyFill="1" applyBorder="1" applyAlignment="1">
      <alignment horizontal="left" vertical="center" readingOrder="1"/>
    </xf>
    <xf numFmtId="0" fontId="9" fillId="20" borderId="1" xfId="0" applyFont="1" applyFill="1" applyBorder="1" applyAlignment="1">
      <alignment horizontal="left" vertical="center" readingOrder="1"/>
    </xf>
    <xf numFmtId="0" fontId="9" fillId="20" borderId="9" xfId="0" applyFont="1" applyFill="1" applyBorder="1" applyAlignment="1">
      <alignment horizontal="left" vertical="center" readingOrder="1"/>
    </xf>
    <xf numFmtId="0" fontId="40" fillId="37" borderId="5" xfId="2" applyFill="1" applyBorder="1" applyAlignment="1">
      <alignment horizontal="left" vertical="center"/>
    </xf>
    <xf numFmtId="0" fontId="40" fillId="37" borderId="6" xfId="2" applyFill="1" applyBorder="1" applyAlignment="1">
      <alignment horizontal="left" vertical="center"/>
    </xf>
    <xf numFmtId="0" fontId="40" fillId="37" borderId="1" xfId="2" applyFill="1" applyBorder="1" applyAlignment="1">
      <alignment horizontal="left" vertical="center"/>
    </xf>
    <xf numFmtId="0" fontId="40" fillId="37" borderId="9" xfId="2" applyFill="1" applyBorder="1" applyAlignment="1">
      <alignment horizontal="left" vertical="center"/>
    </xf>
    <xf numFmtId="0" fontId="39" fillId="37" borderId="5" xfId="2" applyFont="1" applyFill="1" applyBorder="1" applyAlignment="1">
      <alignment horizontal="left" vertical="center"/>
    </xf>
    <xf numFmtId="0" fontId="9" fillId="53" borderId="5" xfId="0" applyFont="1" applyFill="1" applyBorder="1" applyAlignment="1">
      <alignment horizontal="left" vertical="center" wrapText="1" readingOrder="1"/>
    </xf>
    <xf numFmtId="0" fontId="9" fillId="20" borderId="5" xfId="0" applyFont="1" applyFill="1" applyBorder="1" applyAlignment="1">
      <alignment horizontal="left" vertical="center" readingOrder="1"/>
    </xf>
    <xf numFmtId="0" fontId="9" fillId="53" borderId="6" xfId="0" applyFont="1" applyFill="1" applyBorder="1" applyAlignment="1">
      <alignment horizontal="left" vertical="center" wrapText="1" readingOrder="1"/>
    </xf>
    <xf numFmtId="0" fontId="9" fillId="53" borderId="1" xfId="0" applyFont="1" applyFill="1" applyBorder="1" applyAlignment="1">
      <alignment horizontal="left" vertical="center" wrapText="1" readingOrder="1"/>
    </xf>
    <xf numFmtId="0" fontId="9" fillId="53" borderId="9" xfId="0" applyFont="1" applyFill="1" applyBorder="1" applyAlignment="1">
      <alignment horizontal="left" vertical="center" wrapText="1" readingOrder="1"/>
    </xf>
    <xf numFmtId="0" fontId="9" fillId="17" borderId="6" xfId="0" applyFont="1" applyFill="1" applyBorder="1" applyAlignment="1">
      <alignment horizontal="left" vertical="center" readingOrder="1"/>
    </xf>
    <xf numFmtId="0" fontId="9" fillId="17" borderId="1" xfId="0" applyFont="1" applyFill="1" applyBorder="1" applyAlignment="1">
      <alignment horizontal="left" vertical="center" readingOrder="1"/>
    </xf>
    <xf numFmtId="0" fontId="9" fillId="17" borderId="9" xfId="0" applyFont="1" applyFill="1" applyBorder="1" applyAlignment="1">
      <alignment horizontal="left" vertical="center" readingOrder="1"/>
    </xf>
    <xf numFmtId="0" fontId="36" fillId="11" borderId="6" xfId="0" applyFont="1" applyFill="1" applyBorder="1" applyAlignment="1">
      <alignment horizontal="center" vertical="center" wrapText="1" readingOrder="1"/>
    </xf>
    <xf numFmtId="0" fontId="36" fillId="11" borderId="9" xfId="0" applyFont="1" applyFill="1" applyBorder="1" applyAlignment="1">
      <alignment horizontal="center" vertical="center" wrapText="1" readingOrder="1"/>
    </xf>
    <xf numFmtId="0" fontId="28" fillId="20" borderId="5" xfId="0" applyFont="1" applyFill="1" applyBorder="1" applyAlignment="1">
      <alignment horizontal="left" vertical="center" readingOrder="1"/>
    </xf>
    <xf numFmtId="0" fontId="12" fillId="2" borderId="5" xfId="0" applyFont="1" applyFill="1" applyBorder="1" applyAlignment="1">
      <alignment horizontal="left" vertical="center" readingOrder="1"/>
    </xf>
    <xf numFmtId="0" fontId="9" fillId="17" borderId="5" xfId="0" applyFont="1" applyFill="1" applyBorder="1" applyAlignment="1">
      <alignment horizontal="left" vertical="center" readingOrder="1"/>
    </xf>
    <xf numFmtId="0" fontId="9" fillId="53" borderId="5" xfId="0" applyFont="1" applyFill="1" applyBorder="1" applyAlignment="1">
      <alignment horizontal="left" vertical="center" readingOrder="1"/>
    </xf>
    <xf numFmtId="0" fontId="9" fillId="17" borderId="5" xfId="0" applyFont="1" applyFill="1" applyBorder="1" applyAlignment="1">
      <alignment horizontal="left" vertical="center" wrapText="1" readingOrder="1"/>
    </xf>
  </cellXfs>
  <cellStyles count="13">
    <cellStyle name="Hipervínculo" xfId="12" builtinId="8"/>
    <cellStyle name="Millares [0] 2" xfId="7" xr:uid="{62557D15-A0C9-4B41-B43F-91E92909E3A2}"/>
    <cellStyle name="Millares 2" xfId="5" xr:uid="{91D5743A-A177-42B2-BDAC-7AF36391363B}"/>
    <cellStyle name="Moneda" xfId="8" builtinId="4"/>
    <cellStyle name="Moneda 2" xfId="4" xr:uid="{52333BDE-8B00-4356-ACF2-DA4B7AC2528C}"/>
    <cellStyle name="Moneda 2 2" xfId="10" xr:uid="{152665D7-3F4F-4AD4-8C25-3D160BE3ED7F}"/>
    <cellStyle name="Normal" xfId="0" builtinId="0"/>
    <cellStyle name="Normal 2" xfId="2" xr:uid="{4A5C1C53-C6EF-4DE6-9787-D5C0D1D8A9A5}"/>
    <cellStyle name="Normal 2 2" xfId="6" xr:uid="{16C04310-7B11-4F50-A97C-0BB233AF83BA}"/>
    <cellStyle name="Normal 3" xfId="9" xr:uid="{B63DEDFF-A12F-47A2-8975-C71DA6D84345}"/>
    <cellStyle name="Porcentaje" xfId="1" builtinId="5"/>
    <cellStyle name="Porcentaje 2" xfId="3" xr:uid="{BC8CD00C-CA46-4D68-A4E0-FE3CCB8BFB56}"/>
    <cellStyle name="Porcentaje 2 2" xfId="11" xr:uid="{6156DB83-E821-4F34-A57A-BB9D0950A933}"/>
  </cellStyles>
  <dxfs count="0"/>
  <tableStyles count="0" defaultTableStyle="TableStyleMedium2" defaultPivotStyle="PivotStyleLight16"/>
  <colors>
    <mruColors>
      <color rgb="FFF2F2F2"/>
      <color rgb="FFFFEDD5"/>
      <color rgb="FFA53E4F"/>
      <color rgb="FFFFF2E1"/>
      <color rgb="FFFFE6E6"/>
      <color rgb="FFE3AFB7"/>
      <color rgb="FFFFCF91"/>
      <color rgb="FFFFA939"/>
      <color rgb="FFFCE1EE"/>
      <color rgb="FFFFB9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416033</xdr:colOff>
      <xdr:row>5</xdr:row>
      <xdr:rowOff>0</xdr:rowOff>
    </xdr:from>
    <xdr:to>
      <xdr:col>14</xdr:col>
      <xdr:colOff>515211</xdr:colOff>
      <xdr:row>14</xdr:row>
      <xdr:rowOff>32844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CAEE40B-B60F-D8A7-3F58-841AA42131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9826" y="1642241"/>
          <a:ext cx="3164695" cy="2988879"/>
        </a:xfrm>
        <a:prstGeom prst="rect">
          <a:avLst/>
        </a:prstGeom>
      </xdr:spPr>
    </xdr:pic>
    <xdr:clientData/>
  </xdr:twoCellAnchor>
  <xdr:twoCellAnchor editAs="oneCell">
    <xdr:from>
      <xdr:col>0</xdr:col>
      <xdr:colOff>131378</xdr:colOff>
      <xdr:row>0</xdr:row>
      <xdr:rowOff>65690</xdr:rowOff>
    </xdr:from>
    <xdr:to>
      <xdr:col>10</xdr:col>
      <xdr:colOff>239985</xdr:colOff>
      <xdr:row>14</xdr:row>
      <xdr:rowOff>157329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67C1E8A-2270-FDEF-A1D7-61D3DBC27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378" y="65690"/>
          <a:ext cx="7772400" cy="468991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14</xdr:row>
      <xdr:rowOff>0</xdr:rowOff>
    </xdr:from>
    <xdr:to>
      <xdr:col>3</xdr:col>
      <xdr:colOff>533400</xdr:colOff>
      <xdr:row>26</xdr:row>
      <xdr:rowOff>9525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98F8989-ABC1-61D4-444E-291768891B0C}"/>
            </a:ext>
            <a:ext uri="{147F2762-F138-4A5C-976F-8EAC2B608ADB}">
              <a16:predDERef xmlns:a16="http://schemas.microsoft.com/office/drawing/2014/main" pred="{815D768A-45E7-E882-0ADF-5F9249961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0075" y="2733675"/>
          <a:ext cx="3867150" cy="22955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3</xdr:col>
      <xdr:colOff>485775</xdr:colOff>
      <xdr:row>54</xdr:row>
      <xdr:rowOff>161925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0A7AA5C-B0DA-12C8-121A-D7BD524F666E}"/>
            </a:ext>
            <a:ext uri="{147F2762-F138-4A5C-976F-8EAC2B608ADB}">
              <a16:predDERef xmlns:a16="http://schemas.microsoft.com/office/drawing/2014/main" pred="{698F8989-ABC1-61D4-444E-291768891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8267700"/>
          <a:ext cx="3810000" cy="22574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4</xdr:col>
      <xdr:colOff>0</xdr:colOff>
      <xdr:row>75</xdr:row>
      <xdr:rowOff>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903A6D3-D54A-E0A8-A61B-5163119716CF}"/>
            </a:ext>
            <a:ext uri="{147F2762-F138-4A5C-976F-8EAC2B608ADB}">
              <a16:predDERef xmlns:a16="http://schemas.microsoft.com/office/drawing/2014/main" pred="{30A7AA5C-B0DA-12C8-121A-D7BD524F6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9600" y="12087225"/>
          <a:ext cx="4333875" cy="2286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4</xdr:col>
      <xdr:colOff>342900</xdr:colOff>
      <xdr:row>120</xdr:row>
      <xdr:rowOff>161925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3EAD3BA-389B-B234-BCE8-5CFF19A58DCC}"/>
            </a:ext>
            <a:ext uri="{147F2762-F138-4A5C-976F-8EAC2B608ADB}">
              <a16:predDERef xmlns:a16="http://schemas.microsoft.com/office/drawing/2014/main" pred="{4903A6D3-D54A-E0A8-A61B-516311971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9600" y="20831175"/>
          <a:ext cx="4676775" cy="2257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1C42E-69E3-440A-BF37-DEC7FDC9D892}">
  <sheetPr>
    <tabColor rgb="FFA53E4F"/>
  </sheetPr>
  <dimension ref="B2:R33"/>
  <sheetViews>
    <sheetView topLeftCell="J10" zoomScale="70" zoomScaleNormal="70" workbookViewId="0">
      <selection activeCell="L16" sqref="L16"/>
    </sheetView>
  </sheetViews>
  <sheetFormatPr baseColWidth="10" defaultColWidth="9.1796875" defaultRowHeight="14.5" x14ac:dyDescent="0.35"/>
  <cols>
    <col min="1" max="1" width="9.1796875" style="7"/>
    <col min="2" max="2" width="9.453125" style="7" bestFit="1" customWidth="1"/>
    <col min="3" max="3" width="10.54296875" style="7" bestFit="1" customWidth="1"/>
    <col min="4" max="4" width="14.26953125" style="7" customWidth="1"/>
    <col min="5" max="7" width="9.26953125" style="7" customWidth="1"/>
    <col min="8" max="8" width="12.81640625" style="7" customWidth="1"/>
    <col min="9" max="9" width="14.54296875" style="7" customWidth="1"/>
    <col min="10" max="12" width="9.26953125" style="7" customWidth="1"/>
    <col min="13" max="14" width="9.1796875" style="7"/>
    <col min="15" max="15" width="29" style="7" customWidth="1"/>
    <col min="16" max="16" width="14.453125" style="7" customWidth="1"/>
    <col min="17" max="17" width="18.81640625" style="7" customWidth="1"/>
    <col min="18" max="18" width="23" style="7" customWidth="1"/>
    <col min="19" max="16384" width="9.1796875" style="7"/>
  </cols>
  <sheetData>
    <row r="2" spans="2:18" s="286" customFormat="1" ht="24.75" customHeight="1" x14ac:dyDescent="0.35">
      <c r="B2" s="497" t="s">
        <v>0</v>
      </c>
      <c r="C2" s="497" t="s">
        <v>1</v>
      </c>
      <c r="D2" s="496" t="s">
        <v>2</v>
      </c>
      <c r="E2" s="497" t="s">
        <v>3</v>
      </c>
      <c r="F2" s="497"/>
      <c r="G2" s="287" t="s">
        <v>4</v>
      </c>
      <c r="H2" s="496" t="s">
        <v>5</v>
      </c>
      <c r="I2" s="496" t="s">
        <v>6</v>
      </c>
      <c r="J2" s="497" t="s">
        <v>7</v>
      </c>
      <c r="K2" s="497" t="s">
        <v>8</v>
      </c>
      <c r="L2" s="496" t="s">
        <v>9</v>
      </c>
    </row>
    <row r="3" spans="2:18" s="286" customFormat="1" ht="12.75" customHeight="1" x14ac:dyDescent="0.35">
      <c r="B3" s="497"/>
      <c r="C3" s="497"/>
      <c r="D3" s="496"/>
      <c r="E3" s="287" t="s">
        <v>10</v>
      </c>
      <c r="F3" s="287" t="s">
        <v>11</v>
      </c>
      <c r="G3" s="287" t="s">
        <v>10</v>
      </c>
      <c r="H3" s="496"/>
      <c r="I3" s="496"/>
      <c r="J3" s="497"/>
      <c r="K3" s="497"/>
      <c r="L3" s="496"/>
    </row>
    <row r="4" spans="2:18" s="286" customFormat="1" ht="36" x14ac:dyDescent="0.35">
      <c r="B4" s="288" t="s">
        <v>12</v>
      </c>
      <c r="C4" s="17" t="s">
        <v>13</v>
      </c>
      <c r="D4" s="17">
        <v>4</v>
      </c>
      <c r="E4" s="289">
        <v>32394.03</v>
      </c>
      <c r="F4" s="17">
        <v>3.24</v>
      </c>
      <c r="G4" s="289">
        <v>21552.86</v>
      </c>
      <c r="H4" s="17">
        <v>3</v>
      </c>
      <c r="I4" s="291" t="s">
        <v>14</v>
      </c>
      <c r="J4" s="290">
        <v>4.13</v>
      </c>
      <c r="K4" s="290">
        <v>0.7</v>
      </c>
      <c r="L4" s="17">
        <v>20</v>
      </c>
    </row>
    <row r="5" spans="2:18" s="286" customFormat="1" ht="36" x14ac:dyDescent="0.35">
      <c r="B5" s="288" t="s">
        <v>15</v>
      </c>
      <c r="C5" s="17" t="s">
        <v>16</v>
      </c>
      <c r="D5" s="17">
        <v>1</v>
      </c>
      <c r="E5" s="289">
        <v>22767.55</v>
      </c>
      <c r="F5" s="17">
        <v>2.2799999999999998</v>
      </c>
      <c r="G5" s="289">
        <v>17798.36</v>
      </c>
      <c r="H5" s="17">
        <v>1</v>
      </c>
      <c r="I5" s="291" t="s">
        <v>14</v>
      </c>
      <c r="J5" s="290">
        <v>3.1</v>
      </c>
      <c r="K5" s="290" t="s">
        <v>17</v>
      </c>
      <c r="L5" s="17">
        <v>20</v>
      </c>
    </row>
    <row r="6" spans="2:18" s="286" customFormat="1" ht="36" x14ac:dyDescent="0.35">
      <c r="B6" s="288" t="s">
        <v>18</v>
      </c>
      <c r="C6" s="17" t="s">
        <v>13</v>
      </c>
      <c r="D6" s="17">
        <v>2</v>
      </c>
      <c r="E6" s="289">
        <v>4914.7299999999996</v>
      </c>
      <c r="F6" s="17">
        <v>0.49</v>
      </c>
      <c r="G6" s="289">
        <v>3196.56</v>
      </c>
      <c r="H6" s="17">
        <v>1</v>
      </c>
      <c r="I6" s="291" t="s">
        <v>19</v>
      </c>
      <c r="J6" s="290">
        <v>8.1300000000000008</v>
      </c>
      <c r="K6" s="290">
        <v>0.71</v>
      </c>
      <c r="L6" s="17">
        <v>25</v>
      </c>
    </row>
    <row r="7" spans="2:18" s="286" customFormat="1" ht="36" x14ac:dyDescent="0.35">
      <c r="B7" s="288" t="s">
        <v>20</v>
      </c>
      <c r="C7" s="17" t="s">
        <v>16</v>
      </c>
      <c r="D7" s="17">
        <v>1</v>
      </c>
      <c r="E7" s="289">
        <v>5796.65</v>
      </c>
      <c r="F7" s="17">
        <v>0.57999999999999996</v>
      </c>
      <c r="G7" s="289">
        <v>4637.32</v>
      </c>
      <c r="H7" s="17">
        <v>1</v>
      </c>
      <c r="I7" s="291" t="s">
        <v>19</v>
      </c>
      <c r="J7" s="290">
        <v>8.34</v>
      </c>
      <c r="K7" s="290" t="s">
        <v>17</v>
      </c>
      <c r="L7" s="17">
        <v>25</v>
      </c>
    </row>
    <row r="8" spans="2:18" ht="24" x14ac:dyDescent="0.35">
      <c r="B8" s="288" t="s">
        <v>21</v>
      </c>
      <c r="C8" s="17" t="s">
        <v>13</v>
      </c>
      <c r="D8" s="17">
        <v>22</v>
      </c>
      <c r="E8" s="289">
        <v>7689.89</v>
      </c>
      <c r="F8" s="17">
        <v>0.77</v>
      </c>
      <c r="G8" s="289">
        <v>6151.91</v>
      </c>
      <c r="H8" s="17">
        <v>4</v>
      </c>
      <c r="I8" s="291" t="s">
        <v>22</v>
      </c>
      <c r="J8" s="290">
        <v>9</v>
      </c>
      <c r="K8" s="290" t="s">
        <v>17</v>
      </c>
      <c r="L8" s="17">
        <v>30</v>
      </c>
    </row>
    <row r="9" spans="2:18" ht="24" x14ac:dyDescent="0.35">
      <c r="B9" s="288" t="s">
        <v>23</v>
      </c>
      <c r="C9" s="17" t="s">
        <v>13</v>
      </c>
      <c r="D9" s="17">
        <v>4</v>
      </c>
      <c r="E9" s="289">
        <v>7083.05</v>
      </c>
      <c r="F9" s="17">
        <v>0.71</v>
      </c>
      <c r="G9" s="289">
        <v>5640.96</v>
      </c>
      <c r="H9" s="17">
        <v>4</v>
      </c>
      <c r="I9" s="291" t="s">
        <v>22</v>
      </c>
      <c r="J9" s="290">
        <v>7.3</v>
      </c>
      <c r="K9" s="290">
        <v>0.56999999999999995</v>
      </c>
      <c r="L9" s="17">
        <v>20</v>
      </c>
    </row>
    <row r="10" spans="2:18" ht="36" x14ac:dyDescent="0.35">
      <c r="B10" s="288" t="s">
        <v>24</v>
      </c>
      <c r="C10" s="17" t="s">
        <v>13</v>
      </c>
      <c r="D10" s="17">
        <v>1</v>
      </c>
      <c r="E10" s="289">
        <v>6546.43</v>
      </c>
      <c r="F10" s="17">
        <v>0.65</v>
      </c>
      <c r="G10" s="289">
        <v>5237.1499999999996</v>
      </c>
      <c r="H10" s="17">
        <v>1</v>
      </c>
      <c r="I10" s="291" t="s">
        <v>25</v>
      </c>
      <c r="J10" s="290">
        <v>7.28</v>
      </c>
      <c r="K10" s="290">
        <v>0.55000000000000004</v>
      </c>
      <c r="L10" s="17">
        <v>24</v>
      </c>
    </row>
    <row r="11" spans="2:18" ht="32.25" customHeight="1" x14ac:dyDescent="0.35">
      <c r="O11" s="52" t="s">
        <v>26</v>
      </c>
      <c r="P11" s="264" t="s">
        <v>27</v>
      </c>
      <c r="Q11" s="264" t="s">
        <v>28</v>
      </c>
      <c r="R11" s="458" t="s">
        <v>29</v>
      </c>
    </row>
    <row r="12" spans="2:18" x14ac:dyDescent="0.35">
      <c r="O12" s="459" t="s">
        <v>30</v>
      </c>
      <c r="P12" s="460" t="s">
        <v>31</v>
      </c>
      <c r="Q12" s="460" t="s">
        <v>32</v>
      </c>
      <c r="R12" s="490" t="s">
        <v>33</v>
      </c>
    </row>
    <row r="13" spans="2:18" ht="14.5" customHeight="1" x14ac:dyDescent="0.35">
      <c r="O13" s="459" t="s">
        <v>34</v>
      </c>
      <c r="P13" s="460" t="s">
        <v>35</v>
      </c>
      <c r="Q13" s="460" t="s">
        <v>36</v>
      </c>
      <c r="R13" s="491"/>
    </row>
    <row r="14" spans="2:18" ht="14.5" customHeight="1" x14ac:dyDescent="0.35">
      <c r="O14" s="459" t="s">
        <v>37</v>
      </c>
      <c r="P14" s="460" t="s">
        <v>38</v>
      </c>
      <c r="Q14" s="460" t="s">
        <v>36</v>
      </c>
      <c r="R14" s="491"/>
    </row>
    <row r="15" spans="2:18" ht="14.5" customHeight="1" x14ac:dyDescent="0.35">
      <c r="O15" s="495" t="s">
        <v>39</v>
      </c>
      <c r="P15" s="492" t="s">
        <v>40</v>
      </c>
      <c r="Q15" s="493" t="s">
        <v>41</v>
      </c>
      <c r="R15" s="491"/>
    </row>
    <row r="16" spans="2:18" ht="14.5" customHeight="1" x14ac:dyDescent="0.35">
      <c r="O16" s="495"/>
      <c r="P16" s="492"/>
      <c r="Q16" s="493"/>
      <c r="R16" s="491"/>
    </row>
    <row r="17" spans="15:18" ht="26" x14ac:dyDescent="0.35">
      <c r="O17" s="461" t="s">
        <v>42</v>
      </c>
      <c r="P17" s="494" t="s">
        <v>43</v>
      </c>
      <c r="Q17" s="494"/>
      <c r="R17" s="491"/>
    </row>
    <row r="19" spans="15:18" ht="14.5" customHeight="1" x14ac:dyDescent="0.35"/>
    <row r="20" spans="15:18" ht="14.5" customHeight="1" x14ac:dyDescent="0.35"/>
    <row r="21" spans="15:18" ht="14.5" customHeight="1" x14ac:dyDescent="0.35"/>
    <row r="22" spans="15:18" ht="14.5" customHeight="1" x14ac:dyDescent="0.35"/>
    <row r="23" spans="15:18" ht="14.5" customHeight="1" x14ac:dyDescent="0.35"/>
    <row r="24" spans="15:18" ht="14.5" customHeight="1" x14ac:dyDescent="0.35"/>
    <row r="25" spans="15:18" ht="14.5" customHeight="1" x14ac:dyDescent="0.35"/>
    <row r="26" spans="15:18" ht="14.5" customHeight="1" x14ac:dyDescent="0.35"/>
    <row r="27" spans="15:18" ht="14.5" customHeight="1" x14ac:dyDescent="0.35"/>
    <row r="33" ht="14.5" customHeight="1" x14ac:dyDescent="0.35"/>
  </sheetData>
  <mergeCells count="14">
    <mergeCell ref="I2:I3"/>
    <mergeCell ref="J2:J3"/>
    <mergeCell ref="K2:K3"/>
    <mergeCell ref="L2:L3"/>
    <mergeCell ref="B2:B3"/>
    <mergeCell ref="C2:C3"/>
    <mergeCell ref="D2:D3"/>
    <mergeCell ref="E2:F2"/>
    <mergeCell ref="H2:H3"/>
    <mergeCell ref="R12:R17"/>
    <mergeCell ref="P15:P16"/>
    <mergeCell ref="Q15:Q16"/>
    <mergeCell ref="P17:Q17"/>
    <mergeCell ref="O15:O1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EE2B8-B1B3-4304-B2CF-03DCED01FB38}">
  <sheetPr>
    <tabColor rgb="FFA53E4F"/>
  </sheetPr>
  <dimension ref="A1:E49"/>
  <sheetViews>
    <sheetView showWhiteSpace="0" zoomScale="10" zoomScaleNormal="10" zoomScaleSheetLayoutView="10" zoomScalePageLayoutView="14" workbookViewId="0">
      <selection activeCell="L16" sqref="L16"/>
    </sheetView>
  </sheetViews>
  <sheetFormatPr baseColWidth="10" defaultColWidth="9.1796875" defaultRowHeight="92" x14ac:dyDescent="0.35"/>
  <cols>
    <col min="1" max="1" width="17.1796875" style="208" customWidth="1"/>
    <col min="2" max="2" width="91.1796875" style="209" customWidth="1"/>
    <col min="3" max="3" width="67.453125" style="209" customWidth="1"/>
    <col min="4" max="4" width="255.54296875" style="210" customWidth="1"/>
    <col min="5" max="5" width="208" style="205" customWidth="1"/>
    <col min="6" max="16384" width="9.1796875" style="205"/>
  </cols>
  <sheetData>
    <row r="1" spans="1:5" s="204" customFormat="1" ht="140.15" customHeight="1" thickBot="1" x14ac:dyDescent="0.4">
      <c r="A1" s="498" t="s">
        <v>44</v>
      </c>
      <c r="B1" s="202" t="s">
        <v>45</v>
      </c>
      <c r="C1" s="203" t="s">
        <v>46</v>
      </c>
      <c r="D1" s="499" t="s">
        <v>47</v>
      </c>
      <c r="E1" s="500"/>
    </row>
    <row r="2" spans="1:5" ht="140.15" customHeight="1" thickTop="1" x14ac:dyDescent="0.35">
      <c r="A2" s="498"/>
      <c r="B2" s="501" t="s">
        <v>48</v>
      </c>
      <c r="C2" s="504" t="s">
        <v>49</v>
      </c>
      <c r="D2" s="506" t="s">
        <v>50</v>
      </c>
      <c r="E2" s="507"/>
    </row>
    <row r="3" spans="1:5" ht="140.15" customHeight="1" x14ac:dyDescent="0.35">
      <c r="A3" s="498"/>
      <c r="B3" s="502"/>
      <c r="C3" s="505"/>
      <c r="D3" s="508" t="s">
        <v>51</v>
      </c>
      <c r="E3" s="509"/>
    </row>
    <row r="4" spans="1:5" ht="140.15" customHeight="1" x14ac:dyDescent="0.35">
      <c r="A4" s="498"/>
      <c r="B4" s="502"/>
      <c r="C4" s="510" t="s">
        <v>52</v>
      </c>
      <c r="D4" s="512" t="s">
        <v>53</v>
      </c>
      <c r="E4" s="513"/>
    </row>
    <row r="5" spans="1:5" ht="140.15" customHeight="1" thickBot="1" x14ac:dyDescent="0.4">
      <c r="A5" s="498"/>
      <c r="B5" s="503"/>
      <c r="C5" s="511"/>
      <c r="D5" s="514" t="s">
        <v>54</v>
      </c>
      <c r="E5" s="515"/>
    </row>
    <row r="6" spans="1:5" ht="140.15" customHeight="1" x14ac:dyDescent="0.35">
      <c r="A6" s="498"/>
      <c r="B6" s="516" t="s">
        <v>55</v>
      </c>
      <c r="C6" s="206" t="s">
        <v>49</v>
      </c>
      <c r="D6" s="518" t="s">
        <v>56</v>
      </c>
      <c r="E6" s="519"/>
    </row>
    <row r="7" spans="1:5" ht="140.15" customHeight="1" x14ac:dyDescent="0.35">
      <c r="A7" s="498"/>
      <c r="B7" s="502"/>
      <c r="C7" s="510" t="s">
        <v>52</v>
      </c>
      <c r="D7" s="512" t="s">
        <v>53</v>
      </c>
      <c r="E7" s="513"/>
    </row>
    <row r="8" spans="1:5" ht="140.15" customHeight="1" thickBot="1" x14ac:dyDescent="0.4">
      <c r="A8" s="498"/>
      <c r="B8" s="517"/>
      <c r="C8" s="511"/>
      <c r="D8" s="514" t="s">
        <v>54</v>
      </c>
      <c r="E8" s="515"/>
    </row>
    <row r="9" spans="1:5" ht="140.15" customHeight="1" x14ac:dyDescent="0.35">
      <c r="A9" s="498"/>
      <c r="B9" s="501" t="s">
        <v>57</v>
      </c>
      <c r="C9" s="207" t="s">
        <v>49</v>
      </c>
      <c r="D9" s="520" t="s">
        <v>51</v>
      </c>
      <c r="E9" s="521"/>
    </row>
    <row r="10" spans="1:5" ht="140.15" customHeight="1" x14ac:dyDescent="0.35">
      <c r="A10" s="498"/>
      <c r="B10" s="502"/>
      <c r="C10" s="510" t="s">
        <v>52</v>
      </c>
      <c r="D10" s="512" t="s">
        <v>53</v>
      </c>
      <c r="E10" s="513"/>
    </row>
    <row r="11" spans="1:5" ht="140.15" customHeight="1" thickBot="1" x14ac:dyDescent="0.4">
      <c r="A11" s="498"/>
      <c r="B11" s="503"/>
      <c r="C11" s="511"/>
      <c r="D11" s="514" t="s">
        <v>54</v>
      </c>
      <c r="E11" s="515"/>
    </row>
    <row r="12" spans="1:5" ht="140.15" customHeight="1" x14ac:dyDescent="0.35">
      <c r="A12" s="498"/>
      <c r="B12" s="516" t="s">
        <v>58</v>
      </c>
      <c r="C12" s="522" t="s">
        <v>49</v>
      </c>
      <c r="D12" s="523" t="s">
        <v>50</v>
      </c>
      <c r="E12" s="524"/>
    </row>
    <row r="13" spans="1:5" ht="140.15" customHeight="1" x14ac:dyDescent="0.35">
      <c r="A13" s="498"/>
      <c r="B13" s="502"/>
      <c r="C13" s="505"/>
      <c r="D13" s="525" t="s">
        <v>51</v>
      </c>
      <c r="E13" s="526"/>
    </row>
    <row r="14" spans="1:5" ht="140.15" customHeight="1" x14ac:dyDescent="0.35">
      <c r="A14" s="498"/>
      <c r="B14" s="502"/>
      <c r="C14" s="510" t="s">
        <v>52</v>
      </c>
      <c r="D14" s="512" t="s">
        <v>53</v>
      </c>
      <c r="E14" s="513"/>
    </row>
    <row r="15" spans="1:5" ht="140.15" customHeight="1" thickBot="1" x14ac:dyDescent="0.4">
      <c r="A15" s="498"/>
      <c r="B15" s="517"/>
      <c r="C15" s="511"/>
      <c r="D15" s="514" t="s">
        <v>54</v>
      </c>
      <c r="E15" s="515"/>
    </row>
    <row r="16" spans="1:5" ht="140.15" customHeight="1" x14ac:dyDescent="0.35">
      <c r="A16" s="498"/>
      <c r="B16" s="501" t="s">
        <v>59</v>
      </c>
      <c r="C16" s="207" t="s">
        <v>49</v>
      </c>
      <c r="D16" s="520" t="s">
        <v>56</v>
      </c>
      <c r="E16" s="521"/>
    </row>
    <row r="17" spans="1:5" ht="140.15" customHeight="1" x14ac:dyDescent="0.35">
      <c r="A17" s="498"/>
      <c r="B17" s="502"/>
      <c r="C17" s="510" t="s">
        <v>52</v>
      </c>
      <c r="D17" s="512" t="s">
        <v>53</v>
      </c>
      <c r="E17" s="513"/>
    </row>
    <row r="18" spans="1:5" ht="140.15" customHeight="1" thickBot="1" x14ac:dyDescent="0.4">
      <c r="A18" s="498"/>
      <c r="B18" s="503"/>
      <c r="C18" s="511"/>
      <c r="D18" s="514" t="s">
        <v>54</v>
      </c>
      <c r="E18" s="515"/>
    </row>
    <row r="19" spans="1:5" ht="140.15" customHeight="1" x14ac:dyDescent="0.35">
      <c r="A19" s="498"/>
      <c r="B19" s="516" t="s">
        <v>60</v>
      </c>
      <c r="C19" s="522" t="s">
        <v>49</v>
      </c>
      <c r="D19" s="523" t="s">
        <v>61</v>
      </c>
      <c r="E19" s="524"/>
    </row>
    <row r="20" spans="1:5" ht="140.15" customHeight="1" x14ac:dyDescent="0.35">
      <c r="A20" s="498"/>
      <c r="B20" s="502"/>
      <c r="C20" s="505"/>
      <c r="D20" s="525" t="s">
        <v>51</v>
      </c>
      <c r="E20" s="526"/>
    </row>
    <row r="21" spans="1:5" ht="140.15" customHeight="1" x14ac:dyDescent="0.35">
      <c r="A21" s="498"/>
      <c r="B21" s="502"/>
      <c r="C21" s="510" t="s">
        <v>52</v>
      </c>
      <c r="D21" s="512" t="s">
        <v>53</v>
      </c>
      <c r="E21" s="513" t="s">
        <v>62</v>
      </c>
    </row>
    <row r="22" spans="1:5" ht="140.15" customHeight="1" thickBot="1" x14ac:dyDescent="0.4">
      <c r="A22" s="498"/>
      <c r="B22" s="517"/>
      <c r="C22" s="511"/>
      <c r="D22" s="514" t="s">
        <v>54</v>
      </c>
      <c r="E22" s="515"/>
    </row>
    <row r="23" spans="1:5" ht="140.15" customHeight="1" x14ac:dyDescent="0.35">
      <c r="A23" s="498"/>
      <c r="B23" s="501" t="s">
        <v>63</v>
      </c>
      <c r="C23" s="504" t="s">
        <v>49</v>
      </c>
      <c r="D23" s="506" t="s">
        <v>61</v>
      </c>
      <c r="E23" s="507"/>
    </row>
    <row r="24" spans="1:5" ht="140.15" customHeight="1" x14ac:dyDescent="0.35">
      <c r="A24" s="498"/>
      <c r="B24" s="502"/>
      <c r="C24" s="527"/>
      <c r="D24" s="528" t="s">
        <v>50</v>
      </c>
      <c r="E24" s="529"/>
    </row>
    <row r="25" spans="1:5" ht="140.15" customHeight="1" x14ac:dyDescent="0.35">
      <c r="A25" s="498"/>
      <c r="B25" s="502"/>
      <c r="C25" s="505"/>
      <c r="D25" s="508" t="s">
        <v>51</v>
      </c>
      <c r="E25" s="509"/>
    </row>
    <row r="26" spans="1:5" ht="140.15" customHeight="1" x14ac:dyDescent="0.35">
      <c r="A26" s="498"/>
      <c r="B26" s="502"/>
      <c r="C26" s="510" t="s">
        <v>52</v>
      </c>
      <c r="D26" s="512" t="s">
        <v>53</v>
      </c>
      <c r="E26" s="513"/>
    </row>
    <row r="27" spans="1:5" ht="140.15" customHeight="1" thickBot="1" x14ac:dyDescent="0.4">
      <c r="A27" s="498"/>
      <c r="B27" s="503"/>
      <c r="C27" s="511"/>
      <c r="D27" s="530" t="s">
        <v>54</v>
      </c>
      <c r="E27" s="531"/>
    </row>
    <row r="28" spans="1:5" ht="140.15" customHeight="1" x14ac:dyDescent="0.35">
      <c r="A28" s="498"/>
      <c r="B28" s="516" t="s">
        <v>64</v>
      </c>
      <c r="C28" s="206" t="s">
        <v>49</v>
      </c>
      <c r="D28" s="532" t="s">
        <v>56</v>
      </c>
      <c r="E28" s="533"/>
    </row>
    <row r="29" spans="1:5" ht="140.15" customHeight="1" x14ac:dyDescent="0.35">
      <c r="A29" s="498"/>
      <c r="B29" s="502"/>
      <c r="C29" s="510" t="s">
        <v>52</v>
      </c>
      <c r="D29" s="512" t="s">
        <v>53</v>
      </c>
      <c r="E29" s="513"/>
    </row>
    <row r="30" spans="1:5" ht="140.15" customHeight="1" thickBot="1" x14ac:dyDescent="0.4">
      <c r="A30" s="498"/>
      <c r="B30" s="517"/>
      <c r="C30" s="511"/>
      <c r="D30" s="514" t="s">
        <v>54</v>
      </c>
      <c r="E30" s="515"/>
    </row>
    <row r="31" spans="1:5" ht="140.15" customHeight="1" x14ac:dyDescent="0.35">
      <c r="A31" s="498"/>
      <c r="B31" s="501" t="s">
        <v>65</v>
      </c>
      <c r="C31" s="207" t="s">
        <v>49</v>
      </c>
      <c r="D31" s="520" t="s">
        <v>51</v>
      </c>
      <c r="E31" s="521"/>
    </row>
    <row r="32" spans="1:5" ht="140.15" customHeight="1" x14ac:dyDescent="0.35">
      <c r="A32" s="498"/>
      <c r="B32" s="502"/>
      <c r="C32" s="510" t="s">
        <v>52</v>
      </c>
      <c r="D32" s="512" t="s">
        <v>53</v>
      </c>
      <c r="E32" s="513"/>
    </row>
    <row r="33" spans="1:5" ht="140.15" customHeight="1" thickBot="1" x14ac:dyDescent="0.4">
      <c r="A33" s="498"/>
      <c r="B33" s="503"/>
      <c r="C33" s="511"/>
      <c r="D33" s="514" t="s">
        <v>54</v>
      </c>
      <c r="E33" s="515"/>
    </row>
    <row r="34" spans="1:5" ht="140.15" customHeight="1" x14ac:dyDescent="0.35">
      <c r="A34" s="498"/>
      <c r="B34" s="516" t="s">
        <v>66</v>
      </c>
      <c r="C34" s="522" t="s">
        <v>49</v>
      </c>
      <c r="D34" s="534" t="s">
        <v>50</v>
      </c>
      <c r="E34" s="535"/>
    </row>
    <row r="35" spans="1:5" ht="140.15" customHeight="1" x14ac:dyDescent="0.35">
      <c r="A35" s="498"/>
      <c r="B35" s="502"/>
      <c r="C35" s="505"/>
      <c r="D35" s="508" t="s">
        <v>51</v>
      </c>
      <c r="E35" s="509"/>
    </row>
    <row r="36" spans="1:5" ht="140.15" customHeight="1" x14ac:dyDescent="0.35">
      <c r="A36" s="498"/>
      <c r="B36" s="502"/>
      <c r="C36" s="510" t="s">
        <v>52</v>
      </c>
      <c r="D36" s="512" t="s">
        <v>53</v>
      </c>
      <c r="E36" s="513"/>
    </row>
    <row r="37" spans="1:5" ht="140.15" customHeight="1" thickBot="1" x14ac:dyDescent="0.4">
      <c r="A37" s="498"/>
      <c r="B37" s="517"/>
      <c r="C37" s="511"/>
      <c r="D37" s="514" t="s">
        <v>54</v>
      </c>
      <c r="E37" s="515"/>
    </row>
    <row r="38" spans="1:5" ht="140.15" customHeight="1" x14ac:dyDescent="0.35">
      <c r="A38" s="498"/>
      <c r="B38" s="501" t="s">
        <v>67</v>
      </c>
      <c r="C38" s="207" t="s">
        <v>49</v>
      </c>
      <c r="D38" s="520" t="s">
        <v>56</v>
      </c>
      <c r="E38" s="521"/>
    </row>
    <row r="39" spans="1:5" ht="140.15" customHeight="1" x14ac:dyDescent="0.35">
      <c r="A39" s="498"/>
      <c r="B39" s="502"/>
      <c r="C39" s="510" t="s">
        <v>52</v>
      </c>
      <c r="D39" s="512" t="s">
        <v>53</v>
      </c>
      <c r="E39" s="513"/>
    </row>
    <row r="40" spans="1:5" ht="140.15" customHeight="1" thickBot="1" x14ac:dyDescent="0.4">
      <c r="A40" s="498"/>
      <c r="B40" s="503"/>
      <c r="C40" s="511"/>
      <c r="D40" s="514" t="s">
        <v>54</v>
      </c>
      <c r="E40" s="515"/>
    </row>
    <row r="41" spans="1:5" ht="140.15" customHeight="1" x14ac:dyDescent="0.35">
      <c r="A41" s="498"/>
      <c r="B41" s="516" t="s">
        <v>68</v>
      </c>
      <c r="C41" s="522" t="s">
        <v>49</v>
      </c>
      <c r="D41" s="534" t="s">
        <v>61</v>
      </c>
      <c r="E41" s="535"/>
    </row>
    <row r="42" spans="1:5" ht="140.15" customHeight="1" x14ac:dyDescent="0.35">
      <c r="A42" s="498"/>
      <c r="B42" s="502"/>
      <c r="C42" s="505"/>
      <c r="D42" s="508" t="s">
        <v>51</v>
      </c>
      <c r="E42" s="509"/>
    </row>
    <row r="43" spans="1:5" ht="140.15" customHeight="1" x14ac:dyDescent="0.35">
      <c r="A43" s="498"/>
      <c r="B43" s="502"/>
      <c r="C43" s="510" t="s">
        <v>52</v>
      </c>
      <c r="D43" s="512" t="s">
        <v>53</v>
      </c>
      <c r="E43" s="513"/>
    </row>
    <row r="44" spans="1:5" ht="140.15" customHeight="1" thickBot="1" x14ac:dyDescent="0.4">
      <c r="A44" s="498"/>
      <c r="B44" s="517"/>
      <c r="C44" s="511"/>
      <c r="D44" s="514" t="s">
        <v>54</v>
      </c>
      <c r="E44" s="515"/>
    </row>
    <row r="45" spans="1:5" ht="140.15" customHeight="1" x14ac:dyDescent="0.35">
      <c r="A45" s="498"/>
      <c r="B45" s="501" t="s">
        <v>67</v>
      </c>
      <c r="C45" s="504" t="s">
        <v>49</v>
      </c>
      <c r="D45" s="506" t="s">
        <v>61</v>
      </c>
      <c r="E45" s="507"/>
    </row>
    <row r="46" spans="1:5" ht="140.15" customHeight="1" x14ac:dyDescent="0.35">
      <c r="A46" s="498"/>
      <c r="B46" s="502"/>
      <c r="C46" s="527"/>
      <c r="D46" s="528" t="s">
        <v>50</v>
      </c>
      <c r="E46" s="529"/>
    </row>
    <row r="47" spans="1:5" ht="140.15" customHeight="1" x14ac:dyDescent="0.35">
      <c r="A47" s="498"/>
      <c r="B47" s="502"/>
      <c r="C47" s="505"/>
      <c r="D47" s="508" t="s">
        <v>51</v>
      </c>
      <c r="E47" s="509"/>
    </row>
    <row r="48" spans="1:5" ht="140.15" customHeight="1" x14ac:dyDescent="0.35">
      <c r="A48" s="498"/>
      <c r="B48" s="502"/>
      <c r="C48" s="510" t="s">
        <v>52</v>
      </c>
      <c r="D48" s="536" t="s">
        <v>53</v>
      </c>
      <c r="E48" s="537"/>
    </row>
    <row r="49" spans="1:5" ht="140.15" customHeight="1" x14ac:dyDescent="0.35">
      <c r="A49" s="498"/>
      <c r="B49" s="502"/>
      <c r="C49" s="527"/>
      <c r="D49" s="528" t="s">
        <v>54</v>
      </c>
      <c r="E49" s="529"/>
    </row>
  </sheetData>
  <mergeCells count="83">
    <mergeCell ref="D43:E43"/>
    <mergeCell ref="D44:E44"/>
    <mergeCell ref="B45:B49"/>
    <mergeCell ref="C45:C47"/>
    <mergeCell ref="D45:E45"/>
    <mergeCell ref="D46:E46"/>
    <mergeCell ref="D47:E47"/>
    <mergeCell ref="C48:C49"/>
    <mergeCell ref="D48:E48"/>
    <mergeCell ref="D49:E49"/>
    <mergeCell ref="B41:B44"/>
    <mergeCell ref="C41:C42"/>
    <mergeCell ref="D41:E41"/>
    <mergeCell ref="D42:E42"/>
    <mergeCell ref="C43:C44"/>
    <mergeCell ref="B38:B40"/>
    <mergeCell ref="D38:E38"/>
    <mergeCell ref="C39:C40"/>
    <mergeCell ref="D39:E39"/>
    <mergeCell ref="D40:E40"/>
    <mergeCell ref="B34:B37"/>
    <mergeCell ref="C34:C35"/>
    <mergeCell ref="D34:E34"/>
    <mergeCell ref="D35:E35"/>
    <mergeCell ref="C36:C37"/>
    <mergeCell ref="D36:E36"/>
    <mergeCell ref="D37:E37"/>
    <mergeCell ref="B28:B30"/>
    <mergeCell ref="D28:E28"/>
    <mergeCell ref="C29:C30"/>
    <mergeCell ref="D29:E29"/>
    <mergeCell ref="D30:E30"/>
    <mergeCell ref="B31:B33"/>
    <mergeCell ref="D31:E31"/>
    <mergeCell ref="C32:C33"/>
    <mergeCell ref="D32:E32"/>
    <mergeCell ref="D33:E33"/>
    <mergeCell ref="D21:E21"/>
    <mergeCell ref="D22:E22"/>
    <mergeCell ref="B23:B27"/>
    <mergeCell ref="C23:C25"/>
    <mergeCell ref="D23:E23"/>
    <mergeCell ref="D24:E24"/>
    <mergeCell ref="D25:E25"/>
    <mergeCell ref="C26:C27"/>
    <mergeCell ref="D26:E26"/>
    <mergeCell ref="D27:E27"/>
    <mergeCell ref="B19:B22"/>
    <mergeCell ref="C19:C20"/>
    <mergeCell ref="D19:E19"/>
    <mergeCell ref="D20:E20"/>
    <mergeCell ref="C21:C22"/>
    <mergeCell ref="B16:B18"/>
    <mergeCell ref="D16:E16"/>
    <mergeCell ref="C17:C18"/>
    <mergeCell ref="D17:E17"/>
    <mergeCell ref="D18:E18"/>
    <mergeCell ref="C10:C11"/>
    <mergeCell ref="D10:E10"/>
    <mergeCell ref="D11:E11"/>
    <mergeCell ref="B12:B15"/>
    <mergeCell ref="C12:C13"/>
    <mergeCell ref="D12:E12"/>
    <mergeCell ref="D13:E13"/>
    <mergeCell ref="C14:C15"/>
    <mergeCell ref="D14:E14"/>
    <mergeCell ref="D15:E15"/>
    <mergeCell ref="A1:A49"/>
    <mergeCell ref="D1:E1"/>
    <mergeCell ref="B2:B5"/>
    <mergeCell ref="C2:C3"/>
    <mergeCell ref="D2:E2"/>
    <mergeCell ref="D3:E3"/>
    <mergeCell ref="C4:C5"/>
    <mergeCell ref="D4:E4"/>
    <mergeCell ref="D5:E5"/>
    <mergeCell ref="B6:B8"/>
    <mergeCell ref="D6:E6"/>
    <mergeCell ref="C7:C8"/>
    <mergeCell ref="D7:E7"/>
    <mergeCell ref="D8:E8"/>
    <mergeCell ref="B9:B11"/>
    <mergeCell ref="D9:E9"/>
  </mergeCells>
  <pageMargins left="0.25" right="0.25" top="0.75" bottom="0.75" header="0.3" footer="0.3"/>
  <pageSetup paperSize="3" scale="20" orientation="portrait" r:id="rId1"/>
  <rowBreaks count="1" manualBreakCount="1">
    <brk id="30" max="4" man="1"/>
  </rowBreaks>
  <colBreaks count="1" manualBreakCount="1">
    <brk id="5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D80D4-2305-4230-B39F-C5E3EC4D7000}">
  <sheetPr>
    <tabColor rgb="FFA53E4F"/>
  </sheetPr>
  <dimension ref="B2:J33"/>
  <sheetViews>
    <sheetView zoomScale="70" zoomScaleNormal="70" workbookViewId="0">
      <selection activeCell="L16" sqref="L16"/>
    </sheetView>
  </sheetViews>
  <sheetFormatPr baseColWidth="10" defaultColWidth="9.1796875" defaultRowHeight="14.5" x14ac:dyDescent="0.35"/>
  <cols>
    <col min="1" max="1" width="9.1796875" style="6"/>
    <col min="2" max="2" width="18.81640625" style="7" customWidth="1"/>
    <col min="3" max="3" width="3.81640625" style="7" bestFit="1" customWidth="1"/>
    <col min="4" max="4" width="14.26953125" style="8" customWidth="1"/>
    <col min="5" max="5" width="29.81640625" style="8" customWidth="1"/>
    <col min="6" max="6" width="10" style="6" customWidth="1"/>
    <col min="7" max="7" width="9.1796875" style="6"/>
    <col min="8" max="8" width="34.54296875" style="6" customWidth="1"/>
    <col min="9" max="9" width="13" style="6" customWidth="1"/>
    <col min="10" max="10" width="18.26953125" style="6" customWidth="1"/>
    <col min="11" max="16384" width="9.1796875" style="6"/>
  </cols>
  <sheetData>
    <row r="2" spans="2:10" s="4" customFormat="1" ht="15.5" x14ac:dyDescent="0.35">
      <c r="B2" s="538" t="s">
        <v>69</v>
      </c>
      <c r="C2" s="538"/>
      <c r="D2" s="538"/>
      <c r="E2" s="538"/>
      <c r="F2" s="538"/>
      <c r="H2" s="113" t="s">
        <v>70</v>
      </c>
      <c r="I2" s="114" t="s">
        <v>71</v>
      </c>
      <c r="J2" s="115" t="s">
        <v>72</v>
      </c>
    </row>
    <row r="3" spans="2:10" s="4" customFormat="1" ht="13" x14ac:dyDescent="0.35">
      <c r="B3" s="109" t="s">
        <v>73</v>
      </c>
      <c r="C3" s="15" t="s">
        <v>74</v>
      </c>
      <c r="D3" s="15" t="s">
        <v>75</v>
      </c>
      <c r="E3" s="43" t="s">
        <v>76</v>
      </c>
      <c r="F3" s="110" t="s">
        <v>77</v>
      </c>
      <c r="H3" s="116" t="s">
        <v>78</v>
      </c>
      <c r="I3" s="21">
        <f>'Pasivos Ambientales'!F7</f>
        <v>6077.0119999999997</v>
      </c>
      <c r="J3" s="117">
        <f>I3*17000</f>
        <v>103309204</v>
      </c>
    </row>
    <row r="4" spans="2:10" s="4" customFormat="1" ht="13" x14ac:dyDescent="0.35">
      <c r="B4" s="279" t="str">
        <f>'Configuración predial actual'!B6</f>
        <v>Manzana 1</v>
      </c>
      <c r="C4" s="283">
        <f>'Configuración predial actual'!C9</f>
        <v>4</v>
      </c>
      <c r="D4" s="283" t="str">
        <f>'Situación jurídica predios'!E7</f>
        <v>AAA0073RYMR</v>
      </c>
      <c r="E4" s="284" t="str">
        <f>'Situación jurídica predios'!G7</f>
        <v>Codensa S.A.</v>
      </c>
      <c r="F4" s="285">
        <f>'Configuración predial actual'!F9</f>
        <v>38.484900000000003</v>
      </c>
      <c r="H4" s="118" t="s">
        <v>79</v>
      </c>
      <c r="I4" s="119">
        <f>'Configuración predial actual'!F29</f>
        <v>23633.236799999999</v>
      </c>
      <c r="J4" s="120">
        <v>20000000</v>
      </c>
    </row>
    <row r="5" spans="2:10" s="4" customFormat="1" ht="15" customHeight="1" x14ac:dyDescent="0.35">
      <c r="B5" s="541" t="str">
        <f>'Configuración predial actual'!B18</f>
        <v>Manzana 2</v>
      </c>
      <c r="C5" s="280">
        <f>'Configuración predial actual'!C20</f>
        <v>3</v>
      </c>
      <c r="D5" s="280" t="str">
        <f>'Situación jurídica predios'!E17</f>
        <v>AAA0073RWOM</v>
      </c>
      <c r="E5" s="281" t="str">
        <f>'Situación jurídica predios'!G17</f>
        <v>Excedentes Industriales LTDA</v>
      </c>
      <c r="F5" s="282">
        <f>'Configuración predial actual'!F20</f>
        <v>408.16300000000001</v>
      </c>
    </row>
    <row r="6" spans="2:10" s="4" customFormat="1" ht="15" customHeight="1" x14ac:dyDescent="0.35">
      <c r="B6" s="542"/>
      <c r="C6" s="17">
        <f>'Configuración predial actual'!C22</f>
        <v>5</v>
      </c>
      <c r="D6" s="17" t="str">
        <f>'Situación jurídica predios'!E19</f>
        <v>AAA0073RWLF</v>
      </c>
      <c r="E6" s="44" t="str">
        <f>'Situación jurídica predios'!G19</f>
        <v>Harinera del Valle S.A.</v>
      </c>
      <c r="F6" s="111">
        <f>'Configuración predial actual'!F22</f>
        <v>5630.3640999999998</v>
      </c>
    </row>
    <row r="7" spans="2:10" s="4" customFormat="1" ht="13" customHeight="1" x14ac:dyDescent="0.35">
      <c r="B7" s="539" t="s">
        <v>80</v>
      </c>
      <c r="C7" s="540"/>
      <c r="D7" s="540"/>
      <c r="E7" s="540"/>
      <c r="F7" s="112">
        <f>SUM(F4:F6)</f>
        <v>6077.0119999999997</v>
      </c>
    </row>
    <row r="8" spans="2:10" ht="24" customHeight="1" x14ac:dyDescent="0.35"/>
    <row r="9" spans="2:10" ht="24" customHeight="1" x14ac:dyDescent="0.35"/>
    <row r="10" spans="2:10" ht="14.5" customHeight="1" x14ac:dyDescent="0.35"/>
    <row r="11" spans="2:10" ht="24" customHeight="1" x14ac:dyDescent="0.35"/>
    <row r="12" spans="2:10" ht="24" customHeight="1" x14ac:dyDescent="0.35"/>
    <row r="13" spans="2:10" ht="14.5" customHeight="1" x14ac:dyDescent="0.35"/>
    <row r="14" spans="2:10" ht="14.5" customHeight="1" x14ac:dyDescent="0.35"/>
    <row r="15" spans="2:10" ht="14.5" customHeight="1" x14ac:dyDescent="0.35"/>
    <row r="16" spans="2:10" ht="14.5" customHeight="1" x14ac:dyDescent="0.35"/>
    <row r="19" ht="14.5" customHeight="1" x14ac:dyDescent="0.35"/>
    <row r="20" ht="14.5" customHeight="1" x14ac:dyDescent="0.35"/>
    <row r="21" ht="14.5" customHeight="1" x14ac:dyDescent="0.35"/>
    <row r="22" ht="14.5" customHeight="1" x14ac:dyDescent="0.35"/>
    <row r="23" ht="14.5" customHeight="1" x14ac:dyDescent="0.35"/>
    <row r="24" ht="14.5" customHeight="1" x14ac:dyDescent="0.35"/>
    <row r="25" ht="14.5" customHeight="1" x14ac:dyDescent="0.35"/>
    <row r="26" ht="14.5" customHeight="1" x14ac:dyDescent="0.35"/>
    <row r="27" ht="14.5" customHeight="1" x14ac:dyDescent="0.35"/>
    <row r="33" ht="14.5" customHeight="1" x14ac:dyDescent="0.35"/>
  </sheetData>
  <mergeCells count="3">
    <mergeCell ref="B2:F2"/>
    <mergeCell ref="B7:E7"/>
    <mergeCell ref="B5:B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E636-C48A-46EA-8488-9993B0B466A6}">
  <sheetPr>
    <tabColor rgb="FFA53E4F"/>
    <pageSetUpPr fitToPage="1"/>
  </sheetPr>
  <dimension ref="A2:AA79"/>
  <sheetViews>
    <sheetView topLeftCell="A33" zoomScale="75" zoomScaleNormal="75" workbookViewId="0">
      <selection activeCell="L16" sqref="L16"/>
    </sheetView>
  </sheetViews>
  <sheetFormatPr baseColWidth="10" defaultColWidth="9.1796875" defaultRowHeight="14.5" x14ac:dyDescent="0.35"/>
  <cols>
    <col min="1" max="1" width="9.1796875" style="6"/>
    <col min="2" max="2" width="11" style="6" customWidth="1"/>
    <col min="3" max="3" width="4.7265625" style="6" customWidth="1"/>
    <col min="4" max="4" width="10.54296875" style="6" customWidth="1"/>
    <col min="5" max="5" width="14.54296875" style="11" customWidth="1"/>
    <col min="6" max="6" width="44.26953125" style="14" customWidth="1"/>
    <col min="7" max="7" width="11.7265625" style="10" customWidth="1"/>
    <col min="8" max="8" width="10.54296875" style="10" customWidth="1"/>
    <col min="9" max="9" width="10.81640625" style="6" bestFit="1" customWidth="1"/>
    <col min="10" max="10" width="5.54296875" style="6" bestFit="1" customWidth="1"/>
    <col min="11" max="11" width="15.7265625" style="6" customWidth="1"/>
    <col min="12" max="12" width="14.26953125" style="6" customWidth="1"/>
    <col min="13" max="13" width="16.81640625" style="6" customWidth="1"/>
    <col min="14" max="14" width="17.54296875" style="6" bestFit="1" customWidth="1"/>
    <col min="15" max="15" width="15" style="6" customWidth="1"/>
    <col min="16" max="16" width="19.26953125" style="6" bestFit="1" customWidth="1"/>
    <col min="17" max="17" width="18.1796875" style="6" bestFit="1" customWidth="1"/>
    <col min="18" max="18" width="20.7265625" style="6" customWidth="1"/>
    <col min="19" max="19" width="19.54296875" style="6" customWidth="1"/>
    <col min="20" max="20" width="17.54296875" style="6" bestFit="1" customWidth="1"/>
    <col min="21" max="21" width="17.7265625" style="6" customWidth="1"/>
    <col min="22" max="22" width="14.54296875" style="6" customWidth="1"/>
    <col min="23" max="23" width="15.1796875" style="6" customWidth="1"/>
    <col min="24" max="24" width="13.1796875" style="6" customWidth="1"/>
    <col min="25" max="25" width="16.26953125" style="6" customWidth="1"/>
    <col min="26" max="26" width="15.81640625" style="6" customWidth="1"/>
    <col min="27" max="27" width="20.81640625" style="6" customWidth="1"/>
    <col min="28" max="16384" width="9.1796875" style="6"/>
  </cols>
  <sheetData>
    <row r="2" spans="1:8" x14ac:dyDescent="0.35">
      <c r="B2" s="99" t="s">
        <v>73</v>
      </c>
      <c r="C2" s="100" t="s">
        <v>74</v>
      </c>
      <c r="D2" s="100" t="s">
        <v>75</v>
      </c>
      <c r="E2" s="100" t="s">
        <v>81</v>
      </c>
      <c r="F2" s="101" t="s">
        <v>76</v>
      </c>
      <c r="G2" s="99" t="s">
        <v>82</v>
      </c>
      <c r="H2" s="86" t="s">
        <v>45</v>
      </c>
    </row>
    <row r="3" spans="1:8" x14ac:dyDescent="0.35">
      <c r="B3" s="554" t="s">
        <v>83</v>
      </c>
      <c r="C3" s="16">
        <v>1</v>
      </c>
      <c r="D3" s="16" t="s">
        <v>84</v>
      </c>
      <c r="E3" s="16" t="s">
        <v>85</v>
      </c>
      <c r="F3" s="77" t="s">
        <v>86</v>
      </c>
      <c r="G3" s="87" t="s">
        <v>87</v>
      </c>
      <c r="H3" s="87" t="s">
        <v>88</v>
      </c>
    </row>
    <row r="4" spans="1:8" ht="24" x14ac:dyDescent="0.35">
      <c r="B4" s="554"/>
      <c r="C4" s="17">
        <v>2</v>
      </c>
      <c r="D4" s="17" t="s">
        <v>89</v>
      </c>
      <c r="E4" s="17" t="s">
        <v>90</v>
      </c>
      <c r="F4" s="18" t="s">
        <v>91</v>
      </c>
      <c r="G4" s="255" t="s">
        <v>92</v>
      </c>
      <c r="H4" s="87" t="s">
        <v>88</v>
      </c>
    </row>
    <row r="5" spans="1:8" ht="24" x14ac:dyDescent="0.35">
      <c r="B5" s="554"/>
      <c r="C5" s="17">
        <v>3</v>
      </c>
      <c r="D5" s="17" t="s">
        <v>93</v>
      </c>
      <c r="E5" s="17" t="s">
        <v>94</v>
      </c>
      <c r="F5" s="18" t="s">
        <v>91</v>
      </c>
      <c r="G5" s="255" t="s">
        <v>92</v>
      </c>
      <c r="H5" s="87" t="s">
        <v>88</v>
      </c>
    </row>
    <row r="6" spans="1:8" x14ac:dyDescent="0.35">
      <c r="B6" s="554"/>
      <c r="C6" s="17">
        <v>4</v>
      </c>
      <c r="D6" s="17" t="s">
        <v>95</v>
      </c>
      <c r="E6" s="17" t="s">
        <v>96</v>
      </c>
      <c r="F6" s="19" t="s">
        <v>97</v>
      </c>
      <c r="G6" s="257" t="s">
        <v>87</v>
      </c>
      <c r="H6" s="88" t="s">
        <v>98</v>
      </c>
    </row>
    <row r="7" spans="1:8" ht="24" x14ac:dyDescent="0.35">
      <c r="B7" s="554"/>
      <c r="C7" s="17">
        <v>5</v>
      </c>
      <c r="D7" s="17" t="s">
        <v>99</v>
      </c>
      <c r="E7" s="17" t="s">
        <v>100</v>
      </c>
      <c r="F7" s="18" t="s">
        <v>91</v>
      </c>
      <c r="G7" s="257" t="s">
        <v>87</v>
      </c>
      <c r="H7" s="88" t="s">
        <v>98</v>
      </c>
    </row>
    <row r="8" spans="1:8" ht="24" x14ac:dyDescent="0.35">
      <c r="B8" s="554"/>
      <c r="C8" s="17">
        <v>6</v>
      </c>
      <c r="D8" s="17" t="s">
        <v>101</v>
      </c>
      <c r="E8" s="17" t="s">
        <v>102</v>
      </c>
      <c r="F8" s="18" t="s">
        <v>91</v>
      </c>
      <c r="G8" s="255" t="s">
        <v>92</v>
      </c>
      <c r="H8" s="87" t="s">
        <v>88</v>
      </c>
    </row>
    <row r="9" spans="1:8" x14ac:dyDescent="0.35">
      <c r="B9" s="554"/>
      <c r="C9" s="17">
        <v>7</v>
      </c>
      <c r="D9" s="17" t="s">
        <v>103</v>
      </c>
      <c r="E9" s="17" t="s">
        <v>104</v>
      </c>
      <c r="F9" s="18" t="s">
        <v>105</v>
      </c>
      <c r="G9" s="257" t="s">
        <v>87</v>
      </c>
      <c r="H9" s="88" t="s">
        <v>98</v>
      </c>
    </row>
    <row r="10" spans="1:8" x14ac:dyDescent="0.35">
      <c r="A10" s="12"/>
      <c r="B10" s="554"/>
      <c r="C10" s="17">
        <v>8</v>
      </c>
      <c r="D10" s="17" t="s">
        <v>106</v>
      </c>
      <c r="E10" s="17" t="s">
        <v>107</v>
      </c>
      <c r="F10" s="18" t="s">
        <v>108</v>
      </c>
      <c r="G10" s="87" t="s">
        <v>87</v>
      </c>
      <c r="H10" s="87" t="s">
        <v>88</v>
      </c>
    </row>
    <row r="11" spans="1:8" x14ac:dyDescent="0.35">
      <c r="B11" s="554"/>
      <c r="C11" s="17">
        <v>9</v>
      </c>
      <c r="D11" s="17" t="s">
        <v>109</v>
      </c>
      <c r="E11" s="17" t="s">
        <v>110</v>
      </c>
      <c r="F11" s="19" t="s">
        <v>111</v>
      </c>
      <c r="G11" s="87" t="s">
        <v>87</v>
      </c>
      <c r="H11" s="87" t="s">
        <v>88</v>
      </c>
    </row>
    <row r="12" spans="1:8" x14ac:dyDescent="0.35">
      <c r="B12" s="554"/>
      <c r="C12" s="17">
        <v>10</v>
      </c>
      <c r="D12" s="17" t="s">
        <v>112</v>
      </c>
      <c r="E12" s="17" t="s">
        <v>113</v>
      </c>
      <c r="F12" s="19" t="s">
        <v>114</v>
      </c>
      <c r="G12" s="87" t="s">
        <v>87</v>
      </c>
      <c r="H12" s="87" t="s">
        <v>88</v>
      </c>
    </row>
    <row r="13" spans="1:8" x14ac:dyDescent="0.35">
      <c r="B13" s="554"/>
      <c r="C13" s="20">
        <v>11</v>
      </c>
      <c r="D13" s="20" t="s">
        <v>115</v>
      </c>
      <c r="E13" s="20" t="s">
        <v>116</v>
      </c>
      <c r="F13" s="78" t="s">
        <v>117</v>
      </c>
      <c r="G13" s="89" t="s">
        <v>87</v>
      </c>
      <c r="H13" s="262" t="s">
        <v>88</v>
      </c>
    </row>
    <row r="14" spans="1:8" x14ac:dyDescent="0.35">
      <c r="B14" s="555" t="s">
        <v>118</v>
      </c>
      <c r="C14" s="45">
        <v>1</v>
      </c>
      <c r="D14" s="45" t="s">
        <v>119</v>
      </c>
      <c r="E14" s="45" t="s">
        <v>120</v>
      </c>
      <c r="F14" s="79" t="s">
        <v>121</v>
      </c>
      <c r="G14" s="254" t="s">
        <v>87</v>
      </c>
      <c r="H14" s="254" t="s">
        <v>88</v>
      </c>
    </row>
    <row r="15" spans="1:8" x14ac:dyDescent="0.35">
      <c r="B15" s="556"/>
      <c r="C15" s="17">
        <v>2</v>
      </c>
      <c r="D15" s="17" t="s">
        <v>122</v>
      </c>
      <c r="E15" s="17" t="s">
        <v>123</v>
      </c>
      <c r="F15" s="18" t="s">
        <v>124</v>
      </c>
      <c r="G15" s="257" t="s">
        <v>87</v>
      </c>
      <c r="H15" s="88" t="s">
        <v>98</v>
      </c>
    </row>
    <row r="16" spans="1:8" x14ac:dyDescent="0.35">
      <c r="B16" s="556"/>
      <c r="C16" s="17">
        <v>3</v>
      </c>
      <c r="D16" s="17" t="s">
        <v>125</v>
      </c>
      <c r="E16" s="17" t="s">
        <v>126</v>
      </c>
      <c r="F16" s="18" t="s">
        <v>127</v>
      </c>
      <c r="G16" s="257" t="s">
        <v>87</v>
      </c>
      <c r="H16" s="88" t="s">
        <v>98</v>
      </c>
    </row>
    <row r="17" spans="2:17" x14ac:dyDescent="0.35">
      <c r="B17" s="556"/>
      <c r="C17" s="17">
        <v>4</v>
      </c>
      <c r="D17" s="17" t="s">
        <v>128</v>
      </c>
      <c r="E17" s="17" t="s">
        <v>129</v>
      </c>
      <c r="F17" s="18" t="s">
        <v>124</v>
      </c>
      <c r="G17" s="257" t="s">
        <v>87</v>
      </c>
      <c r="H17" s="88" t="s">
        <v>98</v>
      </c>
    </row>
    <row r="18" spans="2:17" x14ac:dyDescent="0.35">
      <c r="B18" s="556"/>
      <c r="C18" s="17">
        <v>5</v>
      </c>
      <c r="D18" s="17" t="s">
        <v>130</v>
      </c>
      <c r="E18" s="17" t="s">
        <v>131</v>
      </c>
      <c r="F18" s="18" t="s">
        <v>132</v>
      </c>
      <c r="G18" s="257" t="s">
        <v>87</v>
      </c>
      <c r="H18" s="88" t="s">
        <v>98</v>
      </c>
    </row>
    <row r="19" spans="2:17" x14ac:dyDescent="0.35">
      <c r="B19" s="556"/>
      <c r="C19" s="17">
        <v>6</v>
      </c>
      <c r="D19" s="17" t="s">
        <v>133</v>
      </c>
      <c r="E19" s="17" t="s">
        <v>134</v>
      </c>
      <c r="F19" s="18" t="s">
        <v>132</v>
      </c>
      <c r="G19" s="257" t="s">
        <v>87</v>
      </c>
      <c r="H19" s="87" t="s">
        <v>88</v>
      </c>
    </row>
    <row r="20" spans="2:17" x14ac:dyDescent="0.35">
      <c r="B20" s="556"/>
      <c r="C20" s="17">
        <v>7</v>
      </c>
      <c r="D20" s="17" t="s">
        <v>135</v>
      </c>
      <c r="E20" s="17" t="s">
        <v>136</v>
      </c>
      <c r="F20" s="18" t="s">
        <v>137</v>
      </c>
      <c r="G20" s="257" t="s">
        <v>87</v>
      </c>
      <c r="H20" s="88" t="s">
        <v>98</v>
      </c>
    </row>
    <row r="21" spans="2:17" x14ac:dyDescent="0.35">
      <c r="B21" s="556"/>
      <c r="C21" s="17">
        <v>8</v>
      </c>
      <c r="D21" s="17" t="s">
        <v>138</v>
      </c>
      <c r="E21" s="17" t="s">
        <v>139</v>
      </c>
      <c r="F21" s="18" t="s">
        <v>132</v>
      </c>
      <c r="G21" s="257" t="s">
        <v>87</v>
      </c>
      <c r="H21" s="87" t="s">
        <v>88</v>
      </c>
    </row>
    <row r="22" spans="2:17" x14ac:dyDescent="0.35">
      <c r="B22" s="556"/>
      <c r="C22" s="17">
        <v>9</v>
      </c>
      <c r="D22" s="17" t="s">
        <v>140</v>
      </c>
      <c r="E22" s="17" t="s">
        <v>141</v>
      </c>
      <c r="F22" s="18" t="s">
        <v>132</v>
      </c>
      <c r="G22" s="257" t="s">
        <v>87</v>
      </c>
      <c r="H22" s="87" t="s">
        <v>88</v>
      </c>
    </row>
    <row r="23" spans="2:17" x14ac:dyDescent="0.35">
      <c r="B23" s="556"/>
      <c r="C23" s="17">
        <v>10</v>
      </c>
      <c r="D23" s="17" t="s">
        <v>142</v>
      </c>
      <c r="E23" s="17" t="s">
        <v>143</v>
      </c>
      <c r="F23" s="18" t="s">
        <v>144</v>
      </c>
      <c r="G23" s="256" t="s">
        <v>92</v>
      </c>
      <c r="H23" s="89" t="s">
        <v>88</v>
      </c>
    </row>
    <row r="24" spans="2:17" s="47" customFormat="1" x14ac:dyDescent="0.35">
      <c r="B24" s="48"/>
      <c r="C24" s="48"/>
      <c r="D24" s="48"/>
      <c r="E24" s="48"/>
      <c r="F24" s="49"/>
    </row>
    <row r="26" spans="2:17" x14ac:dyDescent="0.35">
      <c r="B26" s="99" t="s">
        <v>73</v>
      </c>
      <c r="C26" s="100" t="s">
        <v>74</v>
      </c>
      <c r="D26" s="100" t="s">
        <v>75</v>
      </c>
      <c r="E26" s="100" t="s">
        <v>81</v>
      </c>
      <c r="F26" s="101" t="s">
        <v>76</v>
      </c>
      <c r="G26" s="99" t="s">
        <v>1</v>
      </c>
      <c r="H26" s="86" t="s">
        <v>45</v>
      </c>
    </row>
    <row r="27" spans="2:17" x14ac:dyDescent="0.35">
      <c r="B27" s="554" t="s">
        <v>83</v>
      </c>
      <c r="C27" s="17">
        <v>4</v>
      </c>
      <c r="D27" s="17" t="s">
        <v>95</v>
      </c>
      <c r="E27" s="17" t="s">
        <v>96</v>
      </c>
      <c r="F27" s="19" t="s">
        <v>97</v>
      </c>
      <c r="G27" s="268" t="s">
        <v>145</v>
      </c>
      <c r="H27" s="88" t="s">
        <v>98</v>
      </c>
    </row>
    <row r="28" spans="2:17" ht="24" x14ac:dyDescent="0.35">
      <c r="B28" s="554"/>
      <c r="C28" s="17">
        <v>5</v>
      </c>
      <c r="D28" s="17" t="s">
        <v>99</v>
      </c>
      <c r="E28" s="17" t="s">
        <v>100</v>
      </c>
      <c r="F28" s="18" t="s">
        <v>91</v>
      </c>
      <c r="G28" s="257" t="s">
        <v>146</v>
      </c>
      <c r="H28" s="88" t="s">
        <v>98</v>
      </c>
      <c r="Q28" s="6" t="s">
        <v>62</v>
      </c>
    </row>
    <row r="29" spans="2:17" x14ac:dyDescent="0.35">
      <c r="B29" s="554"/>
      <c r="C29" s="20">
        <v>7</v>
      </c>
      <c r="D29" s="20" t="s">
        <v>103</v>
      </c>
      <c r="E29" s="20" t="s">
        <v>104</v>
      </c>
      <c r="F29" s="258" t="s">
        <v>105</v>
      </c>
      <c r="G29" s="259" t="s">
        <v>146</v>
      </c>
      <c r="H29" s="260" t="s">
        <v>98</v>
      </c>
    </row>
    <row r="30" spans="2:17" x14ac:dyDescent="0.35">
      <c r="B30" s="557" t="s">
        <v>118</v>
      </c>
      <c r="C30" s="45">
        <v>2</v>
      </c>
      <c r="D30" s="45" t="s">
        <v>122</v>
      </c>
      <c r="E30" s="45" t="s">
        <v>123</v>
      </c>
      <c r="F30" s="79" t="s">
        <v>124</v>
      </c>
      <c r="G30" s="254" t="s">
        <v>146</v>
      </c>
      <c r="H30" s="261" t="s">
        <v>98</v>
      </c>
    </row>
    <row r="31" spans="2:17" x14ac:dyDescent="0.35">
      <c r="B31" s="554"/>
      <c r="C31" s="17">
        <v>3</v>
      </c>
      <c r="D31" s="17" t="s">
        <v>125</v>
      </c>
      <c r="E31" s="17" t="s">
        <v>126</v>
      </c>
      <c r="F31" s="18" t="s">
        <v>127</v>
      </c>
      <c r="G31" s="268" t="s">
        <v>145</v>
      </c>
      <c r="H31" s="88" t="s">
        <v>98</v>
      </c>
    </row>
    <row r="32" spans="2:17" x14ac:dyDescent="0.35">
      <c r="B32" s="554"/>
      <c r="C32" s="17">
        <v>4</v>
      </c>
      <c r="D32" s="17" t="s">
        <v>128</v>
      </c>
      <c r="E32" s="17" t="s">
        <v>129</v>
      </c>
      <c r="F32" s="18" t="s">
        <v>124</v>
      </c>
      <c r="G32" s="257" t="s">
        <v>146</v>
      </c>
      <c r="H32" s="88" t="s">
        <v>98</v>
      </c>
    </row>
    <row r="33" spans="2:27" x14ac:dyDescent="0.35">
      <c r="B33" s="554"/>
      <c r="C33" s="17">
        <v>5</v>
      </c>
      <c r="D33" s="17" t="s">
        <v>130</v>
      </c>
      <c r="E33" s="17" t="s">
        <v>131</v>
      </c>
      <c r="F33" s="18" t="s">
        <v>132</v>
      </c>
      <c r="G33" s="268" t="s">
        <v>145</v>
      </c>
      <c r="H33" s="88" t="s">
        <v>98</v>
      </c>
    </row>
    <row r="34" spans="2:27" x14ac:dyDescent="0.35">
      <c r="B34" s="558"/>
      <c r="C34" s="17">
        <v>7</v>
      </c>
      <c r="D34" s="17" t="s">
        <v>135</v>
      </c>
      <c r="E34" s="17" t="s">
        <v>136</v>
      </c>
      <c r="F34" s="18" t="s">
        <v>137</v>
      </c>
      <c r="G34" s="257" t="s">
        <v>146</v>
      </c>
      <c r="H34" s="88" t="s">
        <v>98</v>
      </c>
    </row>
    <row r="35" spans="2:27" s="47" customFormat="1" x14ac:dyDescent="0.35">
      <c r="B35" s="48"/>
      <c r="C35" s="48"/>
      <c r="D35" s="48"/>
      <c r="E35" s="48"/>
      <c r="F35" s="404"/>
      <c r="G35" s="405"/>
      <c r="H35" s="405"/>
    </row>
    <row r="36" spans="2:27" ht="15" customHeight="1" x14ac:dyDescent="0.35">
      <c r="I36" s="547" t="s">
        <v>147</v>
      </c>
      <c r="J36" s="548"/>
      <c r="K36" s="548"/>
      <c r="L36" s="548"/>
      <c r="M36" s="548"/>
      <c r="N36" s="548"/>
      <c r="O36" s="548"/>
      <c r="P36" s="548"/>
      <c r="Q36" s="548"/>
      <c r="R36" s="548"/>
      <c r="S36" s="548"/>
      <c r="T36" s="548"/>
      <c r="V36" s="543" t="s">
        <v>148</v>
      </c>
      <c r="W36" s="543"/>
      <c r="X36" s="543"/>
      <c r="Y36" s="543"/>
      <c r="Z36" s="543"/>
      <c r="AA36" s="543"/>
    </row>
    <row r="37" spans="2:27" ht="60.75" customHeight="1" x14ac:dyDescent="0.35">
      <c r="I37" s="292" t="s">
        <v>73</v>
      </c>
      <c r="J37" s="62" t="s">
        <v>74</v>
      </c>
      <c r="K37" s="263" t="s">
        <v>149</v>
      </c>
      <c r="L37" s="264" t="s">
        <v>150</v>
      </c>
      <c r="M37" s="264" t="s">
        <v>151</v>
      </c>
      <c r="N37" s="75" t="s">
        <v>152</v>
      </c>
      <c r="O37" s="265" t="s">
        <v>153</v>
      </c>
      <c r="P37" s="75" t="s">
        <v>154</v>
      </c>
      <c r="Q37" s="265" t="s">
        <v>155</v>
      </c>
      <c r="R37" s="75" t="s">
        <v>156</v>
      </c>
      <c r="S37" s="75" t="s">
        <v>157</v>
      </c>
      <c r="T37" s="75" t="s">
        <v>158</v>
      </c>
      <c r="V37" s="263" t="s">
        <v>149</v>
      </c>
      <c r="W37" s="264" t="s">
        <v>150</v>
      </c>
      <c r="X37" s="264" t="s">
        <v>151</v>
      </c>
      <c r="Y37" s="75" t="s">
        <v>154</v>
      </c>
      <c r="Z37" s="75" t="s">
        <v>156</v>
      </c>
      <c r="AA37" s="75" t="s">
        <v>158</v>
      </c>
    </row>
    <row r="38" spans="2:27" x14ac:dyDescent="0.35">
      <c r="I38" s="406">
        <v>1</v>
      </c>
      <c r="J38" s="17">
        <f>C27</f>
        <v>4</v>
      </c>
      <c r="K38" s="17" t="str">
        <f>E27</f>
        <v>AAA0073RYMR</v>
      </c>
      <c r="L38" s="69">
        <f>'Configuración predial actual'!G9</f>
        <v>41.57474749836949</v>
      </c>
      <c r="M38" s="69">
        <f>'Configuración predial actual'!F9</f>
        <v>38.484900000000003</v>
      </c>
      <c r="N38" s="29">
        <f>'Configuración predial actual'!M9</f>
        <v>3024656.4236882515</v>
      </c>
      <c r="O38" s="40">
        <v>500000</v>
      </c>
      <c r="P38" s="29">
        <f>'Configuración predial actual'!L9</f>
        <v>116403600</v>
      </c>
      <c r="Q38" s="40">
        <f>O38*L38</f>
        <v>20787373.749184746</v>
      </c>
      <c r="R38" s="40">
        <f>P38*10/100</f>
        <v>11640360</v>
      </c>
      <c r="S38" s="40">
        <f>P38*10%</f>
        <v>11640360</v>
      </c>
      <c r="T38" s="40">
        <f>S38+Q38</f>
        <v>32427733.749184746</v>
      </c>
      <c r="V38" s="17" t="str">
        <f>K38</f>
        <v>AAA0073RYMR</v>
      </c>
      <c r="W38" s="69">
        <f t="shared" ref="W38:X40" si="0">L38</f>
        <v>41.57474749836949</v>
      </c>
      <c r="X38" s="69">
        <f t="shared" si="0"/>
        <v>38.484900000000003</v>
      </c>
      <c r="Y38" s="29">
        <f>P38</f>
        <v>116403600</v>
      </c>
      <c r="Z38" s="29">
        <f>R38</f>
        <v>11640360</v>
      </c>
      <c r="AA38" s="29">
        <f>T38</f>
        <v>32427733.749184746</v>
      </c>
    </row>
    <row r="39" spans="2:27" x14ac:dyDescent="0.35">
      <c r="I39" s="406">
        <v>2</v>
      </c>
      <c r="J39" s="17">
        <f>C31</f>
        <v>3</v>
      </c>
      <c r="K39" s="17" t="str">
        <f>E31</f>
        <v>AAA0073RWOM</v>
      </c>
      <c r="L39" s="69">
        <f>'Configuración predial actual'!G20</f>
        <v>1225.7952460169097</v>
      </c>
      <c r="M39" s="69">
        <f>'Configuración predial actual'!F20</f>
        <v>408.16300000000001</v>
      </c>
      <c r="N39" s="29">
        <f>'Configuración predial actual'!M20</f>
        <v>3325397.941508662</v>
      </c>
      <c r="O39" s="40">
        <v>500000</v>
      </c>
      <c r="P39" s="29">
        <f>'Configuración predial actual'!L20</f>
        <v>1357304400</v>
      </c>
      <c r="Q39" s="40">
        <f>O39*L39</f>
        <v>612897623.0084548</v>
      </c>
      <c r="R39" s="40">
        <f>P39*10/100</f>
        <v>135730440</v>
      </c>
      <c r="S39" s="40">
        <f>P39*10%</f>
        <v>135730440</v>
      </c>
      <c r="T39" s="40">
        <f>S39+Q39</f>
        <v>748628063.0084548</v>
      </c>
      <c r="V39" s="17" t="str">
        <f>K39</f>
        <v>AAA0073RWOM</v>
      </c>
      <c r="W39" s="69">
        <f t="shared" si="0"/>
        <v>1225.7952460169097</v>
      </c>
      <c r="X39" s="69">
        <f t="shared" si="0"/>
        <v>408.16300000000001</v>
      </c>
      <c r="Y39" s="29">
        <f>P39</f>
        <v>1357304400</v>
      </c>
      <c r="Z39" s="29">
        <f>R39</f>
        <v>135730440</v>
      </c>
      <c r="AA39" s="29">
        <f>T39</f>
        <v>748628063.0084548</v>
      </c>
    </row>
    <row r="40" spans="2:27" x14ac:dyDescent="0.35">
      <c r="I40" s="406">
        <v>2</v>
      </c>
      <c r="J40" s="17">
        <f>C33</f>
        <v>5</v>
      </c>
      <c r="K40" s="17" t="str">
        <f>E33</f>
        <v>AAA0073RWLF</v>
      </c>
      <c r="L40" s="69">
        <f>'Configuración predial actual'!G22</f>
        <v>7330.7143788445201</v>
      </c>
      <c r="M40" s="69">
        <f>'Configuración predial actual'!F22</f>
        <v>5630.3640999999998</v>
      </c>
      <c r="N40" s="29">
        <f>'Configuración predial actual'!M22</f>
        <v>2871283.0134733208</v>
      </c>
      <c r="O40" s="40">
        <v>500000</v>
      </c>
      <c r="P40" s="29">
        <f>'Configuración predial actual'!L22</f>
        <v>16166368800</v>
      </c>
      <c r="Q40" s="40">
        <f>O40*L40</f>
        <v>3665357189.4222598</v>
      </c>
      <c r="R40" s="40">
        <f>P40*10/100</f>
        <v>1616636880</v>
      </c>
      <c r="S40" s="40">
        <f>P40*10%</f>
        <v>1616636880</v>
      </c>
      <c r="T40" s="40">
        <f>S40+Q40</f>
        <v>5281994069.4222603</v>
      </c>
      <c r="V40" s="17" t="str">
        <f>K40</f>
        <v>AAA0073RWLF</v>
      </c>
      <c r="W40" s="69">
        <f t="shared" si="0"/>
        <v>7330.7143788445201</v>
      </c>
      <c r="X40" s="69">
        <f t="shared" si="0"/>
        <v>5630.3640999999998</v>
      </c>
      <c r="Y40" s="29">
        <f>P40</f>
        <v>16166368800</v>
      </c>
      <c r="Z40" s="29">
        <f>R40</f>
        <v>1616636880</v>
      </c>
      <c r="AA40" s="29">
        <f>T40</f>
        <v>5281994069.4222603</v>
      </c>
    </row>
    <row r="41" spans="2:27" x14ac:dyDescent="0.35">
      <c r="I41" s="549" t="s">
        <v>159</v>
      </c>
      <c r="J41" s="550"/>
      <c r="K41" s="550"/>
      <c r="L41" s="551"/>
      <c r="M41" s="63">
        <f>M38+M39+M40</f>
        <v>6077.0119999999997</v>
      </c>
      <c r="N41" s="407"/>
      <c r="O41" s="407"/>
      <c r="P41" s="250">
        <f>SUM(P38:P40)</f>
        <v>17640076800</v>
      </c>
      <c r="Q41" s="250">
        <f>SUM(Q38:Q40)</f>
        <v>4299042186.1798992</v>
      </c>
      <c r="R41" s="250">
        <f>SUM(R38:R40)</f>
        <v>1764007680</v>
      </c>
      <c r="S41" s="250">
        <f>SUM(S38:S40)</f>
        <v>1764007680</v>
      </c>
      <c r="T41" s="250">
        <f>SUM(T38:T40)</f>
        <v>6063049866.1799002</v>
      </c>
      <c r="V41" s="292" t="s">
        <v>160</v>
      </c>
      <c r="W41" s="292"/>
      <c r="X41" s="266">
        <f>X38+X39+X40</f>
        <v>6077.0119999999997</v>
      </c>
      <c r="Y41" s="267">
        <f>P41</f>
        <v>17640076800</v>
      </c>
      <c r="Z41" s="250">
        <f>R41</f>
        <v>1764007680</v>
      </c>
      <c r="AA41" s="250">
        <f>T41</f>
        <v>6063049866.1799002</v>
      </c>
    </row>
    <row r="42" spans="2:27" x14ac:dyDescent="0.35">
      <c r="U42" s="269">
        <f>Q41+R41+S41</f>
        <v>7827057546.1798992</v>
      </c>
      <c r="V42" s="292" t="s">
        <v>161</v>
      </c>
      <c r="W42" s="544">
        <f>Y41</f>
        <v>17640076800</v>
      </c>
      <c r="X42" s="545"/>
      <c r="Y42" s="545"/>
      <c r="Z42" s="545"/>
      <c r="AA42" s="546"/>
    </row>
    <row r="43" spans="2:27" x14ac:dyDescent="0.35">
      <c r="I43" s="548" t="s">
        <v>162</v>
      </c>
      <c r="J43" s="548"/>
      <c r="K43" s="548"/>
      <c r="L43" s="548"/>
      <c r="M43" s="548"/>
      <c r="N43" s="548"/>
      <c r="O43" s="548"/>
      <c r="P43" s="548"/>
      <c r="Q43" s="55"/>
      <c r="R43" s="55"/>
      <c r="S43" s="55"/>
      <c r="V43" s="292" t="s">
        <v>163</v>
      </c>
      <c r="W43" s="544">
        <f>Z41+AA41</f>
        <v>7827057546.1799002</v>
      </c>
      <c r="X43" s="545"/>
      <c r="Y43" s="545"/>
      <c r="Z43" s="545"/>
      <c r="AA43" s="546"/>
    </row>
    <row r="44" spans="2:27" ht="26" x14ac:dyDescent="0.35">
      <c r="I44" s="292" t="s">
        <v>73</v>
      </c>
      <c r="J44" s="62" t="s">
        <v>74</v>
      </c>
      <c r="K44" s="263" t="s">
        <v>149</v>
      </c>
      <c r="L44" s="264" t="s">
        <v>150</v>
      </c>
      <c r="M44" s="264" t="s">
        <v>151</v>
      </c>
      <c r="N44" s="75" t="s">
        <v>154</v>
      </c>
      <c r="O44" s="264" t="s">
        <v>164</v>
      </c>
      <c r="P44" s="75" t="s">
        <v>165</v>
      </c>
      <c r="W44" s="67">
        <f>W39+W38+W40</f>
        <v>8598.0843723597991</v>
      </c>
      <c r="X44" s="67">
        <f>X40+X39+X38</f>
        <v>6077.0119999999997</v>
      </c>
    </row>
    <row r="45" spans="2:27" x14ac:dyDescent="0.35">
      <c r="I45" s="406">
        <v>1</v>
      </c>
      <c r="J45" s="17">
        <f>C28</f>
        <v>5</v>
      </c>
      <c r="K45" s="17" t="str">
        <f>E28</f>
        <v>AAA0073RYNX</v>
      </c>
      <c r="L45" s="69">
        <f>'Configuración predial actual'!G10</f>
        <v>1016.5788370628665</v>
      </c>
      <c r="M45" s="69">
        <f>'Configuración predial actual'!F10</f>
        <v>1072.6186</v>
      </c>
      <c r="N45" s="29">
        <f>'Configuración predial actual'!L10</f>
        <v>3504182400</v>
      </c>
      <c r="O45" s="69">
        <f>M45/2</f>
        <v>536.30930000000001</v>
      </c>
      <c r="P45" s="29">
        <f>O45*'Reparto Cargas'!E120</f>
        <v>4826783700</v>
      </c>
      <c r="Q45" s="6" t="s">
        <v>166</v>
      </c>
      <c r="Z45" s="397"/>
      <c r="AA45" s="397"/>
    </row>
    <row r="46" spans="2:27" x14ac:dyDescent="0.35">
      <c r="I46" s="406">
        <v>1</v>
      </c>
      <c r="J46" s="17">
        <f>C29</f>
        <v>7</v>
      </c>
      <c r="K46" s="17" t="str">
        <f>E29</f>
        <v>AAA0073RYPA</v>
      </c>
      <c r="L46" s="69">
        <f>'Configuración predial actual'!G12</f>
        <v>2437.0634</v>
      </c>
      <c r="M46" s="69">
        <f>'Configuración predial actual'!F12</f>
        <v>1218.5317</v>
      </c>
      <c r="N46" s="29">
        <f>'Configuración predial actual'!L12</f>
        <v>4320502800</v>
      </c>
      <c r="O46" s="69">
        <f>M46/2</f>
        <v>609.26585</v>
      </c>
      <c r="P46" s="29">
        <f>O46*'Reparto Cargas'!E120</f>
        <v>5483392650</v>
      </c>
      <c r="U46" s="396" t="s">
        <v>167</v>
      </c>
      <c r="V46" s="396" t="s">
        <v>168</v>
      </c>
      <c r="W46" s="396" t="s">
        <v>169</v>
      </c>
      <c r="X46" s="396" t="s">
        <v>170</v>
      </c>
      <c r="Y46" s="67"/>
      <c r="Z46" s="67"/>
      <c r="AA46" s="67"/>
    </row>
    <row r="47" spans="2:27" x14ac:dyDescent="0.35">
      <c r="I47" s="406">
        <v>2</v>
      </c>
      <c r="J47" s="17">
        <f>C30</f>
        <v>2</v>
      </c>
      <c r="K47" s="17" t="str">
        <f>E30</f>
        <v>AAA0160AORJ</v>
      </c>
      <c r="L47" s="69">
        <f>'Configuración predial actual'!G19</f>
        <v>955.31251754927837</v>
      </c>
      <c r="M47" s="69">
        <f>'Configuración predial actual'!F19</f>
        <v>673.1046</v>
      </c>
      <c r="N47" s="29">
        <f>'Configuración predial actual'!L19</f>
        <v>2189239200</v>
      </c>
      <c r="O47" s="69">
        <f>M47/2</f>
        <v>336.5523</v>
      </c>
      <c r="P47" s="29">
        <f>O47*'Reparto Cargas'!E120</f>
        <v>3028970700</v>
      </c>
      <c r="T47" s="270" t="s">
        <v>171</v>
      </c>
      <c r="U47" s="395">
        <f>'Cuadro Áreas'!I126</f>
        <v>4419.7744999999995</v>
      </c>
      <c r="V47" s="395">
        <f>O54+O55</f>
        <v>1791.5607</v>
      </c>
      <c r="W47" s="395">
        <f>O56+O57+O58+O59+O60</f>
        <v>1234.4327333333333</v>
      </c>
      <c r="X47" s="395">
        <f>O61</f>
        <v>3025.9934333333331</v>
      </c>
    </row>
    <row r="48" spans="2:27" x14ac:dyDescent="0.35">
      <c r="I48" s="406">
        <v>2</v>
      </c>
      <c r="J48" s="17">
        <f>C32</f>
        <v>4</v>
      </c>
      <c r="K48" s="17" t="str">
        <f>E32</f>
        <v>AAA0160AOSY</v>
      </c>
      <c r="L48" s="69">
        <f>'Configuración predial actual'!G21</f>
        <v>998.78833072054147</v>
      </c>
      <c r="M48" s="69">
        <f>'Configuración predial actual'!F21</f>
        <v>977.75360000000001</v>
      </c>
      <c r="N48" s="29">
        <f>'Configuración predial actual'!L21</f>
        <v>2915230800</v>
      </c>
      <c r="O48" s="69">
        <f>M48/2</f>
        <v>488.8768</v>
      </c>
      <c r="P48" s="29">
        <f>O48*'Reparto Cargas'!E120</f>
        <v>4399891200</v>
      </c>
      <c r="T48" s="270" t="s">
        <v>172</v>
      </c>
      <c r="U48" s="395">
        <f>'Cuadro Áreas'!I127</f>
        <v>13759.442300000001</v>
      </c>
      <c r="V48" s="395">
        <f>O45+O46+O63+O64+O65+O66+O67+O68</f>
        <v>3022.4136500000004</v>
      </c>
      <c r="W48" s="395">
        <f>O47+O48+O49</f>
        <v>1216.7085999999999</v>
      </c>
      <c r="X48" s="395">
        <f>V48+W48</f>
        <v>4239.1222500000003</v>
      </c>
      <c r="Y48" s="67" t="s">
        <v>62</v>
      </c>
      <c r="Z48" s="67"/>
      <c r="AA48" s="67"/>
    </row>
    <row r="49" spans="9:27" x14ac:dyDescent="0.35">
      <c r="I49" s="406">
        <v>2</v>
      </c>
      <c r="J49" s="17">
        <f>C34</f>
        <v>7</v>
      </c>
      <c r="K49" s="17" t="str">
        <f>E34</f>
        <v>AAA0073RWRJ</v>
      </c>
      <c r="L49" s="69">
        <f>'Configuración predial actual'!G24</f>
        <v>798.96677439017378</v>
      </c>
      <c r="M49" s="69">
        <f>'Configuración predial actual'!F24</f>
        <v>782.55899999999997</v>
      </c>
      <c r="N49" s="29">
        <f>'Configuración predial actual'!L24</f>
        <v>2407172400</v>
      </c>
      <c r="O49" s="69">
        <f>M49/2</f>
        <v>391.27949999999998</v>
      </c>
      <c r="P49" s="29">
        <f>O49*'Reparto Cargas'!E120</f>
        <v>3521515500</v>
      </c>
      <c r="Q49" s="269">
        <f>P41+N50+N61+N69+Q41+R41+S41</f>
        <v>86181212346.179901</v>
      </c>
      <c r="X49" s="67">
        <f>X47+X48</f>
        <v>7265.1156833333334</v>
      </c>
    </row>
    <row r="50" spans="9:27" x14ac:dyDescent="0.35">
      <c r="I50" s="552" t="s">
        <v>159</v>
      </c>
      <c r="J50" s="552"/>
      <c r="K50" s="552"/>
      <c r="L50" s="552"/>
      <c r="M50" s="553"/>
      <c r="N50" s="250">
        <f>SUM(N45:N49)</f>
        <v>15336327600</v>
      </c>
      <c r="O50" s="63">
        <f>SUM(O45:O49)</f>
        <v>2362.2837500000001</v>
      </c>
      <c r="P50" s="250">
        <f>SUM(P45:P49)</f>
        <v>21260553750</v>
      </c>
      <c r="T50" s="67">
        <f>O50+O69</f>
        <v>4239.1222500000003</v>
      </c>
    </row>
    <row r="51" spans="9:27" x14ac:dyDescent="0.35">
      <c r="P51" s="269" t="s">
        <v>62</v>
      </c>
    </row>
    <row r="52" spans="9:27" ht="33" customHeight="1" x14ac:dyDescent="0.35">
      <c r="I52" s="292" t="s">
        <v>73</v>
      </c>
      <c r="J52" s="62" t="s">
        <v>74</v>
      </c>
      <c r="K52" s="263" t="s">
        <v>149</v>
      </c>
      <c r="L52" s="264" t="s">
        <v>151</v>
      </c>
      <c r="M52" s="265" t="s">
        <v>152</v>
      </c>
      <c r="N52" s="75" t="s">
        <v>173</v>
      </c>
      <c r="O52" s="264" t="s">
        <v>174</v>
      </c>
      <c r="P52" s="75" t="s">
        <v>165</v>
      </c>
    </row>
    <row r="53" spans="9:27" x14ac:dyDescent="0.35">
      <c r="I53" s="561" t="s">
        <v>175</v>
      </c>
      <c r="J53" s="561"/>
      <c r="K53" s="561"/>
      <c r="L53" s="561"/>
      <c r="M53" s="561"/>
      <c r="N53" s="561"/>
      <c r="O53" s="561"/>
      <c r="P53" s="561"/>
      <c r="AA53" s="269">
        <f>W43+192000000</f>
        <v>8019057546.1799002</v>
      </c>
    </row>
    <row r="54" spans="9:27" x14ac:dyDescent="0.35">
      <c r="I54" s="406">
        <v>1</v>
      </c>
      <c r="J54" s="17">
        <f>C5</f>
        <v>3</v>
      </c>
      <c r="K54" s="17" t="str">
        <f>E5</f>
        <v>AAA0073RYLF</v>
      </c>
      <c r="L54" s="69">
        <f>'Configuración predial actual'!F8</f>
        <v>1635.3623</v>
      </c>
      <c r="M54" s="40">
        <f>'Configuración predial actual'!M8</f>
        <v>3868747.127165644</v>
      </c>
      <c r="N54" s="29">
        <f>'Configuración predial actual'!L8</f>
        <v>6326803200</v>
      </c>
      <c r="O54" s="69">
        <f t="shared" ref="O54:O60" si="1">L54/3</f>
        <v>545.12076666666667</v>
      </c>
      <c r="P54" s="29">
        <f>O54*'Reparto Cargas'!E119</f>
        <v>6541449200</v>
      </c>
      <c r="Q54" s="6" t="s">
        <v>176</v>
      </c>
    </row>
    <row r="55" spans="9:27" x14ac:dyDescent="0.35">
      <c r="I55" s="406">
        <v>1</v>
      </c>
      <c r="J55" s="17">
        <f>C10</f>
        <v>8</v>
      </c>
      <c r="K55" s="17" t="str">
        <f>E10</f>
        <v>AAA0073RYEP</v>
      </c>
      <c r="L55" s="69">
        <f>'Configuración predial actual'!F13</f>
        <v>3739.3198000000002</v>
      </c>
      <c r="M55" s="40">
        <f>'Configuración predial actual'!M13</f>
        <v>3510367.9551559081</v>
      </c>
      <c r="N55" s="29">
        <f>'Configuración predial actual'!L13</f>
        <v>13126388400</v>
      </c>
      <c r="O55" s="69">
        <f t="shared" si="1"/>
        <v>1246.4399333333333</v>
      </c>
      <c r="P55" s="29">
        <f>O55*'Reparto Cargas'!E119</f>
        <v>14957279200</v>
      </c>
    </row>
    <row r="56" spans="9:27" x14ac:dyDescent="0.35">
      <c r="I56" s="406">
        <v>2</v>
      </c>
      <c r="J56" s="17">
        <f>C14</f>
        <v>1</v>
      </c>
      <c r="K56" s="17" t="str">
        <f>E14</f>
        <v>AAA0073RWMR</v>
      </c>
      <c r="L56" s="69">
        <f>'Configuración predial actual'!F18</f>
        <v>932.69140000000004</v>
      </c>
      <c r="M56" s="41">
        <f>'Configuración predial actual'!M18</f>
        <v>3816102.0890725483</v>
      </c>
      <c r="N56" s="29">
        <f>'Configuración predial actual'!L18</f>
        <v>3559245600</v>
      </c>
      <c r="O56" s="69">
        <f t="shared" si="1"/>
        <v>310.89713333333333</v>
      </c>
      <c r="P56" s="29">
        <f>O56*'Reparto Cargas'!E119</f>
        <v>3730765600</v>
      </c>
    </row>
    <row r="57" spans="9:27" x14ac:dyDescent="0.35">
      <c r="I57" s="406">
        <v>2</v>
      </c>
      <c r="J57" s="17">
        <f>C19</f>
        <v>6</v>
      </c>
      <c r="K57" s="17" t="str">
        <f>E19</f>
        <v>AAA0073RWPA</v>
      </c>
      <c r="L57" s="69">
        <f>'Configuración predial actual'!F23</f>
        <v>988.08910000000003</v>
      </c>
      <c r="M57" s="40">
        <f>'Configuración predial actual'!M23</f>
        <v>3369886.3796797274</v>
      </c>
      <c r="N57" s="29">
        <f>'Configuración predial actual'!L23</f>
        <v>3329748000</v>
      </c>
      <c r="O57" s="69">
        <f t="shared" si="1"/>
        <v>329.36303333333336</v>
      </c>
      <c r="P57" s="29">
        <f>O57*'Reparto Cargas'!E119</f>
        <v>3952356400.0000005</v>
      </c>
      <c r="Q57" s="67"/>
    </row>
    <row r="58" spans="9:27" x14ac:dyDescent="0.35">
      <c r="I58" s="406">
        <v>2</v>
      </c>
      <c r="J58" s="17">
        <f>C21</f>
        <v>8</v>
      </c>
      <c r="K58" s="17" t="str">
        <f>E21</f>
        <v>AAA0073RWTD</v>
      </c>
      <c r="L58" s="69">
        <f>'Configuración predial actual'!F25</f>
        <v>280.89580000000001</v>
      </c>
      <c r="M58" s="40">
        <f>'Configuración predial actual'!M25</f>
        <v>2380999.6447081086</v>
      </c>
      <c r="N58" s="29">
        <f>'Configuración predial actual'!L25</f>
        <v>668812800</v>
      </c>
      <c r="O58" s="69">
        <f t="shared" si="1"/>
        <v>93.631933333333336</v>
      </c>
      <c r="P58" s="29">
        <f>O58*'Reparto Cargas'!E119</f>
        <v>1123583200</v>
      </c>
    </row>
    <row r="59" spans="9:27" x14ac:dyDescent="0.35">
      <c r="I59" s="406">
        <v>2</v>
      </c>
      <c r="J59" s="17">
        <f>C22</f>
        <v>9</v>
      </c>
      <c r="K59" s="17" t="str">
        <f>E22</f>
        <v>AAA0073RWSY</v>
      </c>
      <c r="L59" s="69">
        <f>'Configuración predial actual'!F26</f>
        <v>888.07950000000005</v>
      </c>
      <c r="M59" s="41">
        <f>'Configuración predial actual'!M26</f>
        <v>2979954.8351245578</v>
      </c>
      <c r="N59" s="29">
        <f>'Configuración predial actual'!L26</f>
        <v>2646436800</v>
      </c>
      <c r="O59" s="69">
        <f t="shared" si="1"/>
        <v>296.0265</v>
      </c>
      <c r="P59" s="29">
        <f>O59*'Reparto Cargas'!E119</f>
        <v>3552318000</v>
      </c>
    </row>
    <row r="60" spans="9:27" x14ac:dyDescent="0.35">
      <c r="I60" s="406">
        <v>2</v>
      </c>
      <c r="J60" s="17">
        <f>C23</f>
        <v>10</v>
      </c>
      <c r="K60" s="17" t="str">
        <f>E23</f>
        <v>AAA0073RWKC</v>
      </c>
      <c r="L60" s="69">
        <f>'Configuración predial actual'!F27</f>
        <v>613.54240000000004</v>
      </c>
      <c r="M60" s="40">
        <f>'Configuración predial actual'!M27</f>
        <v>3550240.7005611998</v>
      </c>
      <c r="N60" s="29">
        <f>'Configuración predial actual'!L27</f>
        <v>2178223200</v>
      </c>
      <c r="O60" s="69">
        <f t="shared" si="1"/>
        <v>204.51413333333335</v>
      </c>
      <c r="P60" s="29">
        <f>O60*'Reparto Cargas'!E119</f>
        <v>2454169600</v>
      </c>
    </row>
    <row r="61" spans="9:27" x14ac:dyDescent="0.35">
      <c r="I61" s="552" t="s">
        <v>159</v>
      </c>
      <c r="J61" s="552"/>
      <c r="K61" s="552"/>
      <c r="L61" s="552"/>
      <c r="M61" s="553"/>
      <c r="N61" s="250">
        <f>SUM(N54:N60)</f>
        <v>31835658000</v>
      </c>
      <c r="O61" s="63">
        <f>SUM(O54:O60)</f>
        <v>3025.9934333333331</v>
      </c>
      <c r="P61" s="250">
        <f>SUM(P54:P60)</f>
        <v>36311921200</v>
      </c>
      <c r="R61" t="s">
        <v>177</v>
      </c>
      <c r="S61" t="s">
        <v>178</v>
      </c>
      <c r="T61"/>
      <c r="U61"/>
    </row>
    <row r="62" spans="9:27" x14ac:dyDescent="0.35">
      <c r="I62" s="560" t="s">
        <v>179</v>
      </c>
      <c r="J62" s="560"/>
      <c r="K62" s="560"/>
      <c r="L62" s="560"/>
      <c r="M62" s="560"/>
      <c r="N62" s="560"/>
      <c r="O62" s="560"/>
      <c r="P62" s="560"/>
      <c r="R62" t="s">
        <v>90</v>
      </c>
      <c r="S62">
        <v>724.23</v>
      </c>
      <c r="T62">
        <v>60000</v>
      </c>
      <c r="U62">
        <f>T62*S62</f>
        <v>43453800</v>
      </c>
    </row>
    <row r="63" spans="9:27" x14ac:dyDescent="0.35">
      <c r="I63" s="406">
        <v>1</v>
      </c>
      <c r="J63" s="17">
        <f>C3</f>
        <v>1</v>
      </c>
      <c r="K63" s="17" t="str">
        <f>E3</f>
        <v>AAA0073RYJZ</v>
      </c>
      <c r="L63" s="69">
        <f>'Configuración predial actual'!F6</f>
        <v>400.9735</v>
      </c>
      <c r="M63" s="40">
        <f>'Configuración predial actual'!M6</f>
        <v>3393147.9262345266</v>
      </c>
      <c r="N63" s="29">
        <f>'Configuración predial actual'!L6</f>
        <v>1360562400</v>
      </c>
      <c r="O63" s="69">
        <f t="shared" ref="O63:O68" si="2">L63/2</f>
        <v>200.48675</v>
      </c>
      <c r="P63" s="29">
        <f>O63*'Reparto Cargas'!E120</f>
        <v>1804380750</v>
      </c>
      <c r="Q63" s="559" t="s">
        <v>180</v>
      </c>
      <c r="R63" t="s">
        <v>94</v>
      </c>
      <c r="S63">
        <v>1983.52</v>
      </c>
      <c r="T63">
        <v>60000</v>
      </c>
      <c r="U63">
        <f>T63*S63</f>
        <v>119011200</v>
      </c>
    </row>
    <row r="64" spans="9:27" x14ac:dyDescent="0.35">
      <c r="I64" s="406">
        <v>1</v>
      </c>
      <c r="J64" s="17">
        <f>C4</f>
        <v>2</v>
      </c>
      <c r="K64" s="17" t="str">
        <f>E4</f>
        <v>AAA0073RYKC</v>
      </c>
      <c r="L64" s="69">
        <f>'Configuración predial actual'!F7</f>
        <v>947.8931</v>
      </c>
      <c r="M64" s="40">
        <f>'Configuración predial actual'!M7</f>
        <v>3038889.5119080413</v>
      </c>
      <c r="N64" s="29">
        <f>'Configuración predial actual'!L7</f>
        <v>2880542400</v>
      </c>
      <c r="O64" s="69">
        <f t="shared" si="2"/>
        <v>473.94655</v>
      </c>
      <c r="P64" s="29">
        <f>O64*'Reparto Cargas'!E120</f>
        <v>4265518950</v>
      </c>
      <c r="Q64" s="559"/>
      <c r="R64" t="s">
        <v>102</v>
      </c>
      <c r="S64">
        <v>430.49</v>
      </c>
      <c r="T64">
        <v>60000</v>
      </c>
      <c r="U64">
        <f>T64*S64</f>
        <v>25829400</v>
      </c>
    </row>
    <row r="65" spans="9:21" ht="15" customHeight="1" x14ac:dyDescent="0.35">
      <c r="I65" s="406">
        <v>1</v>
      </c>
      <c r="J65" s="17">
        <f>C8</f>
        <v>6</v>
      </c>
      <c r="K65" s="17" t="str">
        <f>E8</f>
        <v>AAA0073RYOM</v>
      </c>
      <c r="L65" s="69">
        <f>'Configuración predial actual'!F11</f>
        <v>429.10849999999999</v>
      </c>
      <c r="M65" s="40">
        <f>'Configuración predial actual'!M11</f>
        <v>2944164.4712234787</v>
      </c>
      <c r="N65" s="29">
        <f>'Configuración predial actual'!L11</f>
        <v>1263366000</v>
      </c>
      <c r="O65" s="69">
        <f t="shared" si="2"/>
        <v>214.55425</v>
      </c>
      <c r="P65" s="29">
        <f>O65*'Reparto Cargas'!E120</f>
        <v>1930988250</v>
      </c>
      <c r="Q65" s="559"/>
      <c r="R65" t="s">
        <v>143</v>
      </c>
      <c r="S65">
        <v>3247</v>
      </c>
      <c r="T65">
        <v>60000</v>
      </c>
      <c r="U65">
        <f>T65*S65</f>
        <v>194820000</v>
      </c>
    </row>
    <row r="66" spans="9:21" x14ac:dyDescent="0.35">
      <c r="I66" s="406">
        <v>1</v>
      </c>
      <c r="J66" s="17">
        <f>C12</f>
        <v>10</v>
      </c>
      <c r="K66" s="17" t="str">
        <f>E12</f>
        <v>AAA0073RYFZ</v>
      </c>
      <c r="L66" s="69">
        <f>'Configuración predial actual'!F15</f>
        <v>690.91949999999997</v>
      </c>
      <c r="M66" s="40">
        <f>'Configuración predial actual'!M15</f>
        <v>3545378.0071339714</v>
      </c>
      <c r="N66" s="29">
        <f>'Configuración predial actual'!L15</f>
        <v>2449570800</v>
      </c>
      <c r="O66" s="69">
        <f t="shared" si="2"/>
        <v>345.45974999999999</v>
      </c>
      <c r="P66" s="29">
        <f>O66*'Reparto Cargas'!E120</f>
        <v>3109137750</v>
      </c>
    </row>
    <row r="67" spans="9:21" x14ac:dyDescent="0.35">
      <c r="I67" s="406">
        <v>1</v>
      </c>
      <c r="J67" s="17">
        <f>C13</f>
        <v>11</v>
      </c>
      <c r="K67" s="17" t="str">
        <f>E13</f>
        <v>AAA0073RYHK</v>
      </c>
      <c r="L67" s="69">
        <f>'Configuración predial actual'!F16</f>
        <v>685.67660000000001</v>
      </c>
      <c r="M67" s="40">
        <f>'Configuración predial actual'!M16</f>
        <v>4066733.50089532</v>
      </c>
      <c r="N67" s="29">
        <f>'Configuración predial actual'!L16</f>
        <v>2788464000</v>
      </c>
      <c r="O67" s="69">
        <f t="shared" si="2"/>
        <v>342.8383</v>
      </c>
      <c r="P67" s="29">
        <f>O67*'Reparto Cargas'!E120</f>
        <v>3085544700</v>
      </c>
    </row>
    <row r="68" spans="9:21" x14ac:dyDescent="0.35">
      <c r="I68" s="406">
        <v>1</v>
      </c>
      <c r="J68" s="17">
        <f>C11</f>
        <v>9</v>
      </c>
      <c r="K68" s="17" t="str">
        <f>E11</f>
        <v>AAA0073RYDE</v>
      </c>
      <c r="L68" s="69">
        <f>'Configuración predial actual'!F14</f>
        <v>599.10580000000004</v>
      </c>
      <c r="M68" s="40">
        <f>'Configuración predial actual'!M14</f>
        <v>4672942.241587379</v>
      </c>
      <c r="N68" s="29">
        <f>'Configuración predial actual'!L14</f>
        <v>2799586800</v>
      </c>
      <c r="O68" s="69">
        <f t="shared" si="2"/>
        <v>299.55290000000002</v>
      </c>
      <c r="P68" s="29">
        <f>O68*'Reparto Cargas'!E120</f>
        <v>2695976100</v>
      </c>
    </row>
    <row r="69" spans="9:21" x14ac:dyDescent="0.35">
      <c r="I69" s="552" t="s">
        <v>159</v>
      </c>
      <c r="J69" s="552"/>
      <c r="K69" s="552"/>
      <c r="L69" s="552"/>
      <c r="M69" s="553"/>
      <c r="N69" s="250">
        <f>SUM(N63:N68)</f>
        <v>13542092400</v>
      </c>
      <c r="O69" s="63">
        <f>SUM(O63:O68)</f>
        <v>1876.8385000000003</v>
      </c>
      <c r="P69" s="250">
        <f>SUM(P63:P68)</f>
        <v>16891546500</v>
      </c>
    </row>
    <row r="70" spans="9:21" x14ac:dyDescent="0.35">
      <c r="I70" s="10"/>
      <c r="J70" s="10"/>
    </row>
    <row r="71" spans="9:21" x14ac:dyDescent="0.35">
      <c r="N71" s="269">
        <f>P41+N50+N61+N69</f>
        <v>78354154800</v>
      </c>
      <c r="O71" s="67" t="s">
        <v>62</v>
      </c>
    </row>
    <row r="72" spans="9:21" x14ac:dyDescent="0.35">
      <c r="L72" s="67">
        <f>L54+L55+L56+L57+L59+L58+L60</f>
        <v>9077.9802999999993</v>
      </c>
    </row>
    <row r="73" spans="9:21" x14ac:dyDescent="0.35">
      <c r="O73" s="67" t="s">
        <v>62</v>
      </c>
    </row>
    <row r="74" spans="9:21" x14ac:dyDescent="0.35">
      <c r="M74" s="67">
        <f>M45+M46+M47+M48+M49</f>
        <v>4724.5675000000001</v>
      </c>
      <c r="N74" s="269">
        <f>N69+N61+N50</f>
        <v>60714078000</v>
      </c>
      <c r="P74" s="269">
        <f>P69+P61+P50</f>
        <v>74464021450</v>
      </c>
      <c r="Q74" s="269">
        <f>P74-N74</f>
        <v>13749943450</v>
      </c>
      <c r="R74" s="6">
        <f>N74/Q74</f>
        <v>4.4155874691979191</v>
      </c>
    </row>
    <row r="75" spans="9:21" x14ac:dyDescent="0.35">
      <c r="M75" s="67">
        <f>L63+L64+L65+L67+L66+L68</f>
        <v>3753.6770000000006</v>
      </c>
      <c r="O75" s="67" t="s">
        <v>62</v>
      </c>
      <c r="P75" s="269"/>
    </row>
    <row r="76" spans="9:21" x14ac:dyDescent="0.35">
      <c r="M76" s="67">
        <f>M74+M75</f>
        <v>8478.2445000000007</v>
      </c>
      <c r="P76" s="6">
        <f>(P74*100)/N74</f>
        <v>122.64704316188414</v>
      </c>
    </row>
    <row r="77" spans="9:21" x14ac:dyDescent="0.35">
      <c r="M77" s="6">
        <f>M76/2</f>
        <v>4239.1222500000003</v>
      </c>
      <c r="N77" s="269">
        <f>M77*9000000</f>
        <v>38152100250</v>
      </c>
    </row>
    <row r="79" spans="9:21" x14ac:dyDescent="0.35">
      <c r="N79" s="269">
        <f>N69+N50</f>
        <v>28878420000</v>
      </c>
      <c r="P79" s="269"/>
      <c r="Q79" s="456"/>
    </row>
  </sheetData>
  <mergeCells count="16">
    <mergeCell ref="Q63:Q65"/>
    <mergeCell ref="I62:P62"/>
    <mergeCell ref="I53:P53"/>
    <mergeCell ref="I43:P43"/>
    <mergeCell ref="I50:M50"/>
    <mergeCell ref="I61:M61"/>
    <mergeCell ref="I69:M69"/>
    <mergeCell ref="B3:B13"/>
    <mergeCell ref="B14:B23"/>
    <mergeCell ref="B27:B29"/>
    <mergeCell ref="B30:B34"/>
    <mergeCell ref="V36:AA36"/>
    <mergeCell ref="W42:AA42"/>
    <mergeCell ref="W43:AA43"/>
    <mergeCell ref="I36:T36"/>
    <mergeCell ref="I41:L4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10C6A-4D9F-4F6F-8477-7297199A5C8B}">
  <sheetPr>
    <tabColor rgb="FFA53E4F"/>
  </sheetPr>
  <dimension ref="B2:E16"/>
  <sheetViews>
    <sheetView workbookViewId="0">
      <selection activeCell="L16" sqref="L16"/>
    </sheetView>
  </sheetViews>
  <sheetFormatPr baseColWidth="10" defaultColWidth="9.1796875" defaultRowHeight="14.5" x14ac:dyDescent="0.35"/>
  <cols>
    <col min="1" max="1" width="9.1796875" style="6"/>
    <col min="2" max="2" width="9.453125" style="6" customWidth="1"/>
    <col min="3" max="3" width="12.81640625" style="6" customWidth="1"/>
    <col min="4" max="5" width="15.7265625" style="6" customWidth="1"/>
    <col min="6" max="16384" width="9.1796875" style="6"/>
  </cols>
  <sheetData>
    <row r="2" spans="2:5" x14ac:dyDescent="0.35">
      <c r="B2" s="462"/>
      <c r="C2" s="462"/>
      <c r="D2" s="488" t="s">
        <v>181</v>
      </c>
      <c r="E2" s="489" t="s">
        <v>182</v>
      </c>
    </row>
    <row r="3" spans="2:5" ht="15" customHeight="1" x14ac:dyDescent="0.35">
      <c r="B3" s="562" t="s">
        <v>183</v>
      </c>
      <c r="C3" s="562"/>
      <c r="D3" s="463">
        <f>'Configuración predial actual'!F29</f>
        <v>23633.236799999999</v>
      </c>
      <c r="E3" s="467">
        <f>'Cuadro Áreas'!E42</f>
        <v>9879.3050999999996</v>
      </c>
    </row>
    <row r="4" spans="2:5" ht="15" customHeight="1" x14ac:dyDescent="0.35">
      <c r="B4" s="563" t="s">
        <v>184</v>
      </c>
      <c r="C4" s="563"/>
      <c r="D4" s="476">
        <f>'Configuración predial actual'!M29</f>
        <v>3356263.4848411642</v>
      </c>
      <c r="E4" s="477">
        <f>'Reparto Cargas'!I39/'Reparto Cargas'!D32</f>
        <v>3897227.4102546973</v>
      </c>
    </row>
    <row r="5" spans="2:5" x14ac:dyDescent="0.35">
      <c r="B5" s="566" t="s">
        <v>185</v>
      </c>
      <c r="C5" s="473" t="s">
        <v>186</v>
      </c>
      <c r="D5" s="471">
        <v>0</v>
      </c>
      <c r="E5" s="472">
        <f>'Cuadro Áreas'!E61</f>
        <v>11643.740099999999</v>
      </c>
    </row>
    <row r="6" spans="2:5" x14ac:dyDescent="0.35">
      <c r="B6" s="567"/>
      <c r="C6" s="470" t="s">
        <v>187</v>
      </c>
      <c r="D6" s="465">
        <v>0</v>
      </c>
      <c r="E6" s="468">
        <f>'Cuadro Áreas'!E59+'Cuadro Áreas'!E60</f>
        <v>5212.2251999999999</v>
      </c>
    </row>
    <row r="7" spans="2:5" x14ac:dyDescent="0.35">
      <c r="B7" s="566" t="s">
        <v>188</v>
      </c>
      <c r="C7" s="568"/>
      <c r="D7" s="466">
        <f>'Cuadro Áreas'!E34</f>
        <v>7825.538700000001</v>
      </c>
      <c r="E7" s="469">
        <f>'Cuadro Áreas'!E34</f>
        <v>7825.538700000001</v>
      </c>
    </row>
    <row r="8" spans="2:5" x14ac:dyDescent="0.35">
      <c r="B8" s="569" t="s">
        <v>189</v>
      </c>
      <c r="C8" s="569"/>
      <c r="D8" s="465">
        <v>0</v>
      </c>
      <c r="E8" s="468">
        <f>SUM('Cuadro Áreas'!I150:I155)</f>
        <v>7069.1826000000001</v>
      </c>
    </row>
    <row r="9" spans="2:5" ht="15.75" customHeight="1" x14ac:dyDescent="0.35">
      <c r="B9" s="565" t="s">
        <v>190</v>
      </c>
      <c r="C9" s="565"/>
      <c r="D9" s="474">
        <v>10801.58</v>
      </c>
      <c r="E9" s="475">
        <v>0</v>
      </c>
    </row>
    <row r="10" spans="2:5" ht="15" customHeight="1" x14ac:dyDescent="0.35">
      <c r="B10" s="564" t="s">
        <v>88</v>
      </c>
      <c r="C10" s="564"/>
      <c r="D10" s="464">
        <v>12831.66</v>
      </c>
      <c r="E10" s="246">
        <f>'Cuadro Áreas'!E126</f>
        <v>6099.89354</v>
      </c>
    </row>
    <row r="11" spans="2:5" ht="15" customHeight="1" x14ac:dyDescent="0.35">
      <c r="B11" s="564" t="s">
        <v>191</v>
      </c>
      <c r="C11" s="564"/>
      <c r="D11" s="464">
        <v>0</v>
      </c>
      <c r="E11" s="246">
        <f>'Cuadro Áreas'!E127</f>
        <v>16470.587500000001</v>
      </c>
    </row>
    <row r="12" spans="2:5" ht="15" customHeight="1" x14ac:dyDescent="0.35">
      <c r="B12" s="564" t="s">
        <v>192</v>
      </c>
      <c r="C12" s="564"/>
      <c r="D12" s="464">
        <v>0</v>
      </c>
      <c r="E12" s="246">
        <f>'Cuadro Áreas'!E128</f>
        <v>6906.5358000000006</v>
      </c>
    </row>
    <row r="13" spans="2:5" ht="15" customHeight="1" x14ac:dyDescent="0.35">
      <c r="B13" s="564" t="s">
        <v>193</v>
      </c>
      <c r="C13" s="564"/>
      <c r="D13" s="464">
        <v>0</v>
      </c>
      <c r="E13" s="246">
        <f>'Cuadro Áreas'!E131</f>
        <v>55713.077160000008</v>
      </c>
    </row>
    <row r="14" spans="2:5" ht="15" customHeight="1" x14ac:dyDescent="0.35">
      <c r="B14" s="564" t="s">
        <v>194</v>
      </c>
      <c r="C14" s="564"/>
      <c r="D14" s="464">
        <v>0</v>
      </c>
      <c r="E14" s="246">
        <f>'Cuadro Áreas'!E130</f>
        <v>23954.89</v>
      </c>
    </row>
    <row r="15" spans="2:5" ht="15" customHeight="1" x14ac:dyDescent="0.35">
      <c r="B15" s="564" t="s">
        <v>195</v>
      </c>
      <c r="C15" s="564"/>
      <c r="D15" s="464">
        <v>0</v>
      </c>
      <c r="E15" s="246">
        <v>0</v>
      </c>
    </row>
    <row r="16" spans="2:5" ht="15" customHeight="1" x14ac:dyDescent="0.35">
      <c r="B16" s="564" t="s">
        <v>196</v>
      </c>
      <c r="C16" s="564"/>
      <c r="D16" s="464">
        <v>0</v>
      </c>
      <c r="E16" s="246">
        <f>'Cuadro Áreas'!E129</f>
        <v>5416.1193999999996</v>
      </c>
    </row>
  </sheetData>
  <mergeCells count="13">
    <mergeCell ref="B3:C3"/>
    <mergeCell ref="B4:C4"/>
    <mergeCell ref="B16:C16"/>
    <mergeCell ref="B15:C15"/>
    <mergeCell ref="B14:C14"/>
    <mergeCell ref="B13:C13"/>
    <mergeCell ref="B12:C12"/>
    <mergeCell ref="B11:C11"/>
    <mergeCell ref="B10:C10"/>
    <mergeCell ref="B9:C9"/>
    <mergeCell ref="B5:B6"/>
    <mergeCell ref="B7:C7"/>
    <mergeCell ref="B8:C8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9F65D-CF7E-4B24-B6EC-BC2406564937}">
  <dimension ref="P4:P8"/>
  <sheetViews>
    <sheetView zoomScale="58" zoomScaleNormal="58" workbookViewId="0">
      <selection activeCell="P19" sqref="P19"/>
    </sheetView>
  </sheetViews>
  <sheetFormatPr baseColWidth="10" defaultRowHeight="26" x14ac:dyDescent="0.6"/>
  <cols>
    <col min="1" max="15" width="10.90625" style="47"/>
    <col min="16" max="16" width="43.1796875" style="485" customWidth="1"/>
    <col min="17" max="16384" width="10.90625" style="47"/>
  </cols>
  <sheetData>
    <row r="4" spans="16:16" x14ac:dyDescent="0.6">
      <c r="P4" s="487" t="s">
        <v>468</v>
      </c>
    </row>
    <row r="5" spans="16:16" x14ac:dyDescent="0.6">
      <c r="P5" s="486" t="s">
        <v>464</v>
      </c>
    </row>
    <row r="6" spans="16:16" x14ac:dyDescent="0.6">
      <c r="P6" s="486" t="s">
        <v>465</v>
      </c>
    </row>
    <row r="7" spans="16:16" x14ac:dyDescent="0.6">
      <c r="P7" s="486" t="s">
        <v>466</v>
      </c>
    </row>
    <row r="8" spans="16:16" x14ac:dyDescent="0.6">
      <c r="P8" s="486" t="s">
        <v>467</v>
      </c>
    </row>
  </sheetData>
  <sheetProtection sheet="1" objects="1" scenarios="1" selectLockedCells="1" selectUnlockedCells="1"/>
  <hyperlinks>
    <hyperlink ref="P5" location="'Configuración predial actual'!A1" display="Configuración predial actual" xr:uid="{30C93831-7A8B-4D16-B932-E7F285E302F0}"/>
    <hyperlink ref="P6" location="'Situación jurídica predios'!A1" display="Situación jurídica predios" xr:uid="{DD1E2DE7-ADAB-412C-A6B9-F93062BE2B57}"/>
    <hyperlink ref="P7" location="'Cuadro Áreas'!A1" display="Cuadro Áreas" xr:uid="{854E03D5-814D-4259-AC3F-A7BA6FD6DEAA}"/>
    <hyperlink ref="P8" location="'Reparto Cargas'!A1" display="Reparto Cargas" xr:uid="{350AFEE6-B166-451C-9ABF-FE77FA36BE28}"/>
  </hyperlink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1C38B-F9DD-40B9-8320-72C0E2D5FBB2}">
  <sheetPr>
    <tabColor rgb="FF002060"/>
  </sheetPr>
  <dimension ref="B1:P45"/>
  <sheetViews>
    <sheetView tabSelected="1" zoomScale="90" zoomScaleNormal="90" workbookViewId="0">
      <selection activeCell="A27" sqref="A27"/>
    </sheetView>
  </sheetViews>
  <sheetFormatPr baseColWidth="10" defaultColWidth="9.1796875" defaultRowHeight="13" x14ac:dyDescent="0.35"/>
  <cols>
    <col min="1" max="1" width="9.1796875" style="10"/>
    <col min="2" max="2" width="10.54296875" style="10" bestFit="1" customWidth="1"/>
    <col min="3" max="3" width="3.81640625" style="10" bestFit="1" customWidth="1"/>
    <col min="4" max="5" width="12.54296875" style="10" customWidth="1"/>
    <col min="6" max="6" width="11.54296875" style="10" customWidth="1"/>
    <col min="7" max="7" width="14" style="10" customWidth="1"/>
    <col min="8" max="10" width="7.54296875" style="10" customWidth="1"/>
    <col min="11" max="11" width="19.26953125" style="10" customWidth="1"/>
    <col min="12" max="12" width="19.453125" style="10" customWidth="1"/>
    <col min="13" max="13" width="11.453125" style="10" customWidth="1"/>
    <col min="14" max="14" width="10.54296875" style="10" customWidth="1"/>
    <col min="15" max="16384" width="9.1796875" style="10"/>
  </cols>
  <sheetData>
    <row r="1" spans="2:16" s="6" customFormat="1" ht="14.5" x14ac:dyDescent="0.35">
      <c r="B1" s="60" t="s">
        <v>241</v>
      </c>
    </row>
    <row r="2" spans="2:16" s="6" customFormat="1" ht="14.5" x14ac:dyDescent="0.35">
      <c r="H2" s="13"/>
    </row>
    <row r="3" spans="2:16" s="346" customFormat="1" ht="18.5" x14ac:dyDescent="0.45">
      <c r="B3" s="347" t="s">
        <v>242</v>
      </c>
      <c r="C3" s="347"/>
      <c r="D3" s="347"/>
      <c r="E3" s="347"/>
      <c r="F3" s="347"/>
      <c r="G3" s="347"/>
      <c r="H3" s="347"/>
      <c r="I3" s="347"/>
    </row>
    <row r="4" spans="2:16" s="6" customFormat="1" ht="14.5" x14ac:dyDescent="0.35">
      <c r="H4" s="13"/>
    </row>
    <row r="5" spans="2:16" ht="36.75" customHeight="1" x14ac:dyDescent="0.35">
      <c r="B5" s="80" t="s">
        <v>73</v>
      </c>
      <c r="C5" s="81" t="s">
        <v>74</v>
      </c>
      <c r="D5" s="81" t="s">
        <v>75</v>
      </c>
      <c r="E5" s="81" t="s">
        <v>81</v>
      </c>
      <c r="F5" s="82" t="s">
        <v>151</v>
      </c>
      <c r="G5" s="82" t="s">
        <v>150</v>
      </c>
      <c r="H5" s="83" t="s">
        <v>243</v>
      </c>
      <c r="I5" s="83" t="s">
        <v>8</v>
      </c>
      <c r="J5" s="83" t="s">
        <v>7</v>
      </c>
      <c r="K5" s="84" t="s">
        <v>244</v>
      </c>
      <c r="L5" s="85" t="s">
        <v>245</v>
      </c>
      <c r="M5" s="85" t="s">
        <v>246</v>
      </c>
      <c r="N5" s="86" t="s">
        <v>45</v>
      </c>
    </row>
    <row r="6" spans="2:16" x14ac:dyDescent="0.35">
      <c r="B6" s="542" t="s">
        <v>83</v>
      </c>
      <c r="C6" s="16">
        <v>1</v>
      </c>
      <c r="D6" s="16" t="s">
        <v>84</v>
      </c>
      <c r="E6" s="16" t="s">
        <v>85</v>
      </c>
      <c r="F6" s="21">
        <v>400.9735</v>
      </c>
      <c r="G6" s="21">
        <v>398.2312048053052</v>
      </c>
      <c r="H6" s="22">
        <v>1</v>
      </c>
      <c r="I6" s="23">
        <f t="shared" ref="I6:I16" si="0">(G6/H6)/F6</f>
        <v>0.99316090665668733</v>
      </c>
      <c r="J6" s="23">
        <f t="shared" ref="J6:J16" si="1">G6/F6</f>
        <v>0.99316090665668733</v>
      </c>
      <c r="K6" s="24">
        <v>1133802000</v>
      </c>
      <c r="L6" s="25">
        <f>K6+(K6*L30)</f>
        <v>1360562400</v>
      </c>
      <c r="M6" s="39">
        <f t="shared" ref="M6:M16" si="2">L6/F6</f>
        <v>3393147.9262345266</v>
      </c>
      <c r="N6" s="87" t="s">
        <v>88</v>
      </c>
    </row>
    <row r="7" spans="2:16" x14ac:dyDescent="0.35">
      <c r="B7" s="542"/>
      <c r="C7" s="17">
        <v>2</v>
      </c>
      <c r="D7" s="17" t="s">
        <v>89</v>
      </c>
      <c r="E7" s="17" t="s">
        <v>90</v>
      </c>
      <c r="F7" s="26">
        <v>947.8931</v>
      </c>
      <c r="G7" s="21">
        <v>724.23011624412072</v>
      </c>
      <c r="H7" s="27">
        <v>1</v>
      </c>
      <c r="I7" s="23">
        <f t="shared" si="0"/>
        <v>0.764041975032966</v>
      </c>
      <c r="J7" s="23">
        <f t="shared" si="1"/>
        <v>0.764041975032966</v>
      </c>
      <c r="K7" s="28">
        <v>2400452000</v>
      </c>
      <c r="L7" s="29">
        <f>K7+(K7*L30)</f>
        <v>2880542400</v>
      </c>
      <c r="M7" s="40">
        <f t="shared" si="2"/>
        <v>3038889.5119080413</v>
      </c>
      <c r="N7" s="87" t="s">
        <v>88</v>
      </c>
    </row>
    <row r="8" spans="2:16" x14ac:dyDescent="0.35">
      <c r="B8" s="542"/>
      <c r="C8" s="17">
        <v>3</v>
      </c>
      <c r="D8" s="17" t="s">
        <v>93</v>
      </c>
      <c r="E8" s="17" t="s">
        <v>94</v>
      </c>
      <c r="F8" s="26">
        <v>1635.3623</v>
      </c>
      <c r="G8" s="21">
        <v>1983.5181659745979</v>
      </c>
      <c r="H8" s="27">
        <v>3</v>
      </c>
      <c r="I8" s="23">
        <f t="shared" si="0"/>
        <v>0.40429739758066613</v>
      </c>
      <c r="J8" s="23">
        <f t="shared" si="1"/>
        <v>1.2128921927419984</v>
      </c>
      <c r="K8" s="28">
        <v>5272336000</v>
      </c>
      <c r="L8" s="29">
        <f>K8+(K8*L30)</f>
        <v>6326803200</v>
      </c>
      <c r="M8" s="40">
        <f t="shared" si="2"/>
        <v>3868747.127165644</v>
      </c>
      <c r="N8" s="87" t="s">
        <v>88</v>
      </c>
    </row>
    <row r="9" spans="2:16" x14ac:dyDescent="0.35">
      <c r="B9" s="542"/>
      <c r="C9" s="17">
        <v>4</v>
      </c>
      <c r="D9" s="17" t="s">
        <v>95</v>
      </c>
      <c r="E9" s="17" t="s">
        <v>96</v>
      </c>
      <c r="F9" s="26">
        <v>38.484900000000003</v>
      </c>
      <c r="G9" s="21">
        <v>41.57474749836949</v>
      </c>
      <c r="H9" s="27">
        <v>1</v>
      </c>
      <c r="I9" s="23">
        <f t="shared" si="0"/>
        <v>1.0802872684707374</v>
      </c>
      <c r="J9" s="23">
        <f t="shared" si="1"/>
        <v>1.0802872684707374</v>
      </c>
      <c r="K9" s="28">
        <v>97003000</v>
      </c>
      <c r="L9" s="29">
        <f>K9+(K9*L30)</f>
        <v>116403600</v>
      </c>
      <c r="M9" s="40">
        <f t="shared" si="2"/>
        <v>3024656.4236882515</v>
      </c>
      <c r="N9" s="88" t="s">
        <v>98</v>
      </c>
    </row>
    <row r="10" spans="2:16" x14ac:dyDescent="0.35">
      <c r="B10" s="542"/>
      <c r="C10" s="17">
        <v>5</v>
      </c>
      <c r="D10" s="17" t="s">
        <v>99</v>
      </c>
      <c r="E10" s="17" t="s">
        <v>100</v>
      </c>
      <c r="F10" s="26">
        <v>1072.6186</v>
      </c>
      <c r="G10" s="21">
        <v>1016.5788370628665</v>
      </c>
      <c r="H10" s="27">
        <v>1</v>
      </c>
      <c r="I10" s="23">
        <f t="shared" si="0"/>
        <v>0.94775425026460147</v>
      </c>
      <c r="J10" s="23">
        <f t="shared" si="1"/>
        <v>0.94775425026460147</v>
      </c>
      <c r="K10" s="28">
        <v>2920152000</v>
      </c>
      <c r="L10" s="29">
        <f>K10+(K10*L30)</f>
        <v>3504182400</v>
      </c>
      <c r="M10" s="40">
        <f t="shared" si="2"/>
        <v>3266941.6696671117</v>
      </c>
      <c r="N10" s="88" t="s">
        <v>98</v>
      </c>
    </row>
    <row r="11" spans="2:16" x14ac:dyDescent="0.35">
      <c r="B11" s="542"/>
      <c r="C11" s="17">
        <v>6</v>
      </c>
      <c r="D11" s="17" t="s">
        <v>101</v>
      </c>
      <c r="E11" s="17" t="s">
        <v>102</v>
      </c>
      <c r="F11" s="26">
        <v>429.10849999999999</v>
      </c>
      <c r="G11" s="21">
        <v>430.49261433879781</v>
      </c>
      <c r="H11" s="27">
        <v>1</v>
      </c>
      <c r="I11" s="23">
        <f t="shared" si="0"/>
        <v>1.0032255579621421</v>
      </c>
      <c r="J11" s="23">
        <f t="shared" si="1"/>
        <v>1.0032255579621421</v>
      </c>
      <c r="K11" s="28">
        <v>1052805000</v>
      </c>
      <c r="L11" s="29">
        <f>K11+(K11*L30)</f>
        <v>1263366000</v>
      </c>
      <c r="M11" s="40">
        <f t="shared" si="2"/>
        <v>2944164.4712234787</v>
      </c>
      <c r="N11" s="87" t="s">
        <v>88</v>
      </c>
    </row>
    <row r="12" spans="2:16" x14ac:dyDescent="0.35">
      <c r="B12" s="542"/>
      <c r="C12" s="17">
        <v>7</v>
      </c>
      <c r="D12" s="17" t="s">
        <v>103</v>
      </c>
      <c r="E12" s="17" t="s">
        <v>104</v>
      </c>
      <c r="F12" s="26">
        <v>1218.5317</v>
      </c>
      <c r="G12" s="21">
        <v>2437.0634</v>
      </c>
      <c r="H12" s="27">
        <v>2</v>
      </c>
      <c r="I12" s="23">
        <f t="shared" si="0"/>
        <v>1</v>
      </c>
      <c r="J12" s="23">
        <f t="shared" si="1"/>
        <v>2</v>
      </c>
      <c r="K12" s="28">
        <v>3600419000</v>
      </c>
      <c r="L12" s="29">
        <f>K12+(K12*L30)</f>
        <v>4320502800</v>
      </c>
      <c r="M12" s="40">
        <f t="shared" si="2"/>
        <v>3545663.0303503801</v>
      </c>
      <c r="N12" s="88" t="s">
        <v>98</v>
      </c>
    </row>
    <row r="13" spans="2:16" x14ac:dyDescent="0.35">
      <c r="B13" s="542"/>
      <c r="C13" s="17">
        <v>8</v>
      </c>
      <c r="D13" s="17" t="s">
        <v>106</v>
      </c>
      <c r="E13" s="17" t="s">
        <v>107</v>
      </c>
      <c r="F13" s="26">
        <v>3739.3198000000002</v>
      </c>
      <c r="G13" s="21">
        <v>5530.4590984702618</v>
      </c>
      <c r="H13" s="27">
        <v>3</v>
      </c>
      <c r="I13" s="23">
        <f t="shared" si="0"/>
        <v>0.49300045590022923</v>
      </c>
      <c r="J13" s="23">
        <f t="shared" si="1"/>
        <v>1.4790013677006875</v>
      </c>
      <c r="K13" s="28">
        <v>10938657000</v>
      </c>
      <c r="L13" s="29">
        <f>K13+(K13*L30)</f>
        <v>13126388400</v>
      </c>
      <c r="M13" s="40">
        <f t="shared" si="2"/>
        <v>3510367.9551559081</v>
      </c>
      <c r="N13" s="87" t="s">
        <v>88</v>
      </c>
      <c r="P13" s="61"/>
    </row>
    <row r="14" spans="2:16" x14ac:dyDescent="0.35">
      <c r="B14" s="542"/>
      <c r="C14" s="17">
        <v>9</v>
      </c>
      <c r="D14" s="17" t="s">
        <v>109</v>
      </c>
      <c r="E14" s="17" t="s">
        <v>110</v>
      </c>
      <c r="F14" s="26">
        <v>599.10580000000004</v>
      </c>
      <c r="G14" s="21">
        <v>1267.2053583857808</v>
      </c>
      <c r="H14" s="27">
        <v>3</v>
      </c>
      <c r="I14" s="23">
        <f t="shared" si="0"/>
        <v>0.70505374197444515</v>
      </c>
      <c r="J14" s="23">
        <f t="shared" si="1"/>
        <v>2.1151612259233357</v>
      </c>
      <c r="K14" s="28">
        <v>2332989000</v>
      </c>
      <c r="L14" s="29">
        <f>K14+(K14*L30)</f>
        <v>2799586800</v>
      </c>
      <c r="M14" s="40">
        <f t="shared" si="2"/>
        <v>4672942.241587379</v>
      </c>
      <c r="N14" s="87" t="s">
        <v>88</v>
      </c>
    </row>
    <row r="15" spans="2:16" x14ac:dyDescent="0.35">
      <c r="B15" s="542"/>
      <c r="C15" s="17">
        <v>10</v>
      </c>
      <c r="D15" s="17" t="s">
        <v>112</v>
      </c>
      <c r="E15" s="17" t="s">
        <v>113</v>
      </c>
      <c r="F15" s="26">
        <v>690.91949999999997</v>
      </c>
      <c r="G15" s="21">
        <v>953.73650620658418</v>
      </c>
      <c r="H15" s="27">
        <v>2</v>
      </c>
      <c r="I15" s="23">
        <f t="shared" si="0"/>
        <v>0.69019365223197793</v>
      </c>
      <c r="J15" s="23">
        <f t="shared" si="1"/>
        <v>1.3803873044639559</v>
      </c>
      <c r="K15" s="28">
        <v>2041309000</v>
      </c>
      <c r="L15" s="29">
        <f>K15+(K15*L30)</f>
        <v>2449570800</v>
      </c>
      <c r="M15" s="40">
        <f t="shared" si="2"/>
        <v>3545378.0071339714</v>
      </c>
      <c r="N15" s="87" t="s">
        <v>88</v>
      </c>
    </row>
    <row r="16" spans="2:16" x14ac:dyDescent="0.35">
      <c r="B16" s="542"/>
      <c r="C16" s="20">
        <v>11</v>
      </c>
      <c r="D16" s="20" t="s">
        <v>115</v>
      </c>
      <c r="E16" s="20" t="s">
        <v>116</v>
      </c>
      <c r="F16" s="30">
        <v>685.67660000000001</v>
      </c>
      <c r="G16" s="31">
        <v>765.74619871817117</v>
      </c>
      <c r="H16" s="32">
        <v>2</v>
      </c>
      <c r="I16" s="33">
        <f t="shared" si="0"/>
        <v>0.55838729126688236</v>
      </c>
      <c r="J16" s="33">
        <f t="shared" si="1"/>
        <v>1.1167745825337647</v>
      </c>
      <c r="K16" s="34">
        <v>2323720000</v>
      </c>
      <c r="L16" s="35">
        <f>K16+(K16*L30)</f>
        <v>2788464000</v>
      </c>
      <c r="M16" s="41">
        <f t="shared" si="2"/>
        <v>4066733.50089532</v>
      </c>
      <c r="N16" s="89" t="s">
        <v>88</v>
      </c>
    </row>
    <row r="17" spans="2:14" x14ac:dyDescent="0.35">
      <c r="B17" s="570" t="s">
        <v>247</v>
      </c>
      <c r="C17" s="571"/>
      <c r="D17" s="571"/>
      <c r="E17" s="571"/>
      <c r="F17" s="95">
        <f>SUM(F6:F16)</f>
        <v>11457.994300000002</v>
      </c>
      <c r="G17" s="96">
        <f>SUM(G6:G16)</f>
        <v>15548.836247704854</v>
      </c>
      <c r="H17" s="96"/>
      <c r="I17" s="97"/>
      <c r="J17" s="97"/>
      <c r="K17" s="97">
        <f>SUM(K6:K16)</f>
        <v>34113644000</v>
      </c>
      <c r="L17" s="97">
        <f>SUM(L6:L16)</f>
        <v>40936372800</v>
      </c>
      <c r="M17" s="97">
        <f>AVERAGE(M6:M16)</f>
        <v>3534330.1695463643</v>
      </c>
      <c r="N17" s="98"/>
    </row>
    <row r="18" spans="2:14" x14ac:dyDescent="0.35">
      <c r="B18" s="572" t="s">
        <v>118</v>
      </c>
      <c r="C18" s="36">
        <v>1</v>
      </c>
      <c r="D18" s="36" t="s">
        <v>119</v>
      </c>
      <c r="E18" s="36" t="s">
        <v>120</v>
      </c>
      <c r="F18" s="21">
        <v>932.69140000000004</v>
      </c>
      <c r="G18" s="21">
        <v>1032.7447427948839</v>
      </c>
      <c r="H18" s="22">
        <v>1</v>
      </c>
      <c r="I18" s="23">
        <f t="shared" ref="I18:I27" si="3">(G18/H18)/F18</f>
        <v>1.1072737915186994</v>
      </c>
      <c r="J18" s="23">
        <f t="shared" ref="J18:J27" si="4">G18/F18</f>
        <v>1.1072737915186994</v>
      </c>
      <c r="K18" s="37">
        <v>2966038000</v>
      </c>
      <c r="L18" s="38">
        <f>K18+(K18*L30)</f>
        <v>3559245600</v>
      </c>
      <c r="M18" s="42">
        <f t="shared" ref="M18:M27" si="5">L18/F18</f>
        <v>3816102.0890725483</v>
      </c>
      <c r="N18" s="87" t="s">
        <v>88</v>
      </c>
    </row>
    <row r="19" spans="2:14" x14ac:dyDescent="0.35">
      <c r="B19" s="542"/>
      <c r="C19" s="17">
        <v>2</v>
      </c>
      <c r="D19" s="17" t="s">
        <v>122</v>
      </c>
      <c r="E19" s="17" t="s">
        <v>123</v>
      </c>
      <c r="F19" s="69">
        <v>673.1046</v>
      </c>
      <c r="G19" s="21">
        <v>955.31251754927837</v>
      </c>
      <c r="H19" s="27">
        <v>2</v>
      </c>
      <c r="I19" s="23">
        <f t="shared" si="3"/>
        <v>0.70963154727309719</v>
      </c>
      <c r="J19" s="23">
        <f t="shared" si="4"/>
        <v>1.4192630945461944</v>
      </c>
      <c r="K19" s="28">
        <v>1824366000</v>
      </c>
      <c r="L19" s="29">
        <f>K19+(K19*L30)</f>
        <v>2189239200</v>
      </c>
      <c r="M19" s="40">
        <f t="shared" si="5"/>
        <v>3252450.213532934</v>
      </c>
      <c r="N19" s="88" t="s">
        <v>98</v>
      </c>
    </row>
    <row r="20" spans="2:14" x14ac:dyDescent="0.35">
      <c r="B20" s="542"/>
      <c r="C20" s="17">
        <v>3</v>
      </c>
      <c r="D20" s="17" t="s">
        <v>125</v>
      </c>
      <c r="E20" s="17" t="s">
        <v>126</v>
      </c>
      <c r="F20" s="69">
        <v>408.16300000000001</v>
      </c>
      <c r="G20" s="21">
        <v>1225.7952460169097</v>
      </c>
      <c r="H20" s="27">
        <v>3</v>
      </c>
      <c r="I20" s="23">
        <f t="shared" si="3"/>
        <v>1.0010667682738756</v>
      </c>
      <c r="J20" s="23">
        <f t="shared" si="4"/>
        <v>3.0032003048216267</v>
      </c>
      <c r="K20" s="28">
        <v>1131087000</v>
      </c>
      <c r="L20" s="29">
        <f>K20+(K20*L30)</f>
        <v>1357304400</v>
      </c>
      <c r="M20" s="40">
        <f t="shared" si="5"/>
        <v>3325397.941508662</v>
      </c>
      <c r="N20" s="88" t="s">
        <v>98</v>
      </c>
    </row>
    <row r="21" spans="2:14" x14ac:dyDescent="0.35">
      <c r="B21" s="542"/>
      <c r="C21" s="17">
        <v>4</v>
      </c>
      <c r="D21" s="17" t="s">
        <v>128</v>
      </c>
      <c r="E21" s="17" t="s">
        <v>129</v>
      </c>
      <c r="F21" s="69">
        <v>977.75360000000001</v>
      </c>
      <c r="G21" s="21">
        <v>998.78833072054147</v>
      </c>
      <c r="H21" s="27">
        <v>1</v>
      </c>
      <c r="I21" s="23">
        <f t="shared" si="3"/>
        <v>1.0215133247482202</v>
      </c>
      <c r="J21" s="23">
        <f t="shared" si="4"/>
        <v>1.0215133247482202</v>
      </c>
      <c r="K21" s="28">
        <v>2429359000</v>
      </c>
      <c r="L21" s="29">
        <f>K21+(K21*L30)</f>
        <v>2915230800</v>
      </c>
      <c r="M21" s="40">
        <f t="shared" si="5"/>
        <v>2981559.7712961631</v>
      </c>
      <c r="N21" s="88" t="s">
        <v>98</v>
      </c>
    </row>
    <row r="22" spans="2:14" x14ac:dyDescent="0.35">
      <c r="B22" s="542"/>
      <c r="C22" s="17">
        <v>5</v>
      </c>
      <c r="D22" s="17" t="s">
        <v>130</v>
      </c>
      <c r="E22" s="17" t="s">
        <v>131</v>
      </c>
      <c r="F22" s="69">
        <v>5630.3640999999998</v>
      </c>
      <c r="G22" s="21">
        <v>7330.7143788445201</v>
      </c>
      <c r="H22" s="27">
        <v>5</v>
      </c>
      <c r="I22" s="23">
        <f t="shared" si="3"/>
        <v>0.26039930095620356</v>
      </c>
      <c r="J22" s="23">
        <f t="shared" si="4"/>
        <v>1.3019965047810176</v>
      </c>
      <c r="K22" s="28">
        <v>13471974000</v>
      </c>
      <c r="L22" s="29">
        <f>K22+(K22*L30)</f>
        <v>16166368800</v>
      </c>
      <c r="M22" s="40">
        <f t="shared" si="5"/>
        <v>2871283.0134733208</v>
      </c>
      <c r="N22" s="88" t="s">
        <v>98</v>
      </c>
    </row>
    <row r="23" spans="2:14" x14ac:dyDescent="0.35">
      <c r="B23" s="542"/>
      <c r="C23" s="17">
        <v>6</v>
      </c>
      <c r="D23" s="17" t="s">
        <v>133</v>
      </c>
      <c r="E23" s="17" t="s">
        <v>134</v>
      </c>
      <c r="F23" s="69">
        <v>988.08910000000003</v>
      </c>
      <c r="G23" s="21">
        <v>994.72199420072536</v>
      </c>
      <c r="H23" s="27">
        <v>1</v>
      </c>
      <c r="I23" s="23">
        <f t="shared" si="3"/>
        <v>1.0067128502892353</v>
      </c>
      <c r="J23" s="23">
        <f t="shared" si="4"/>
        <v>1.0067128502892353</v>
      </c>
      <c r="K23" s="28">
        <v>2774790000</v>
      </c>
      <c r="L23" s="29">
        <f>K23+(K23*L30)</f>
        <v>3329748000</v>
      </c>
      <c r="M23" s="40">
        <f t="shared" si="5"/>
        <v>3369886.3796797274</v>
      </c>
      <c r="N23" s="87" t="s">
        <v>88</v>
      </c>
    </row>
    <row r="24" spans="2:14" x14ac:dyDescent="0.35">
      <c r="B24" s="542"/>
      <c r="C24" s="17">
        <v>7</v>
      </c>
      <c r="D24" s="17" t="s">
        <v>135</v>
      </c>
      <c r="E24" s="17" t="s">
        <v>136</v>
      </c>
      <c r="F24" s="26">
        <v>782.55899999999997</v>
      </c>
      <c r="G24" s="21">
        <v>798.96677439017378</v>
      </c>
      <c r="H24" s="27">
        <v>1</v>
      </c>
      <c r="I24" s="23">
        <f t="shared" si="3"/>
        <v>1.020966820891682</v>
      </c>
      <c r="J24" s="23">
        <f t="shared" si="4"/>
        <v>1.020966820891682</v>
      </c>
      <c r="K24" s="28">
        <v>2005977000</v>
      </c>
      <c r="L24" s="29">
        <f>K24+(K24*L30)</f>
        <v>2407172400</v>
      </c>
      <c r="M24" s="40">
        <f t="shared" si="5"/>
        <v>3076026.727697209</v>
      </c>
      <c r="N24" s="88" t="s">
        <v>98</v>
      </c>
    </row>
    <row r="25" spans="2:14" x14ac:dyDescent="0.35">
      <c r="B25" s="542"/>
      <c r="C25" s="17">
        <v>8</v>
      </c>
      <c r="D25" s="17" t="s">
        <v>138</v>
      </c>
      <c r="E25" s="17" t="s">
        <v>139</v>
      </c>
      <c r="F25" s="26">
        <v>280.89580000000001</v>
      </c>
      <c r="G25" s="21">
        <v>10.105270352920906</v>
      </c>
      <c r="H25" s="27">
        <v>1</v>
      </c>
      <c r="I25" s="23">
        <f t="shared" si="3"/>
        <v>3.5975156456311934E-2</v>
      </c>
      <c r="J25" s="23">
        <f t="shared" si="4"/>
        <v>3.5975156456311934E-2</v>
      </c>
      <c r="K25" s="28">
        <v>557344000</v>
      </c>
      <c r="L25" s="29">
        <f>K25+(K25*L30)</f>
        <v>668812800</v>
      </c>
      <c r="M25" s="40">
        <f t="shared" si="5"/>
        <v>2380999.6447081086</v>
      </c>
      <c r="N25" s="87" t="s">
        <v>88</v>
      </c>
    </row>
    <row r="26" spans="2:14" x14ac:dyDescent="0.35">
      <c r="B26" s="542"/>
      <c r="C26" s="17">
        <v>9</v>
      </c>
      <c r="D26" s="17" t="s">
        <v>140</v>
      </c>
      <c r="E26" s="17" t="s">
        <v>141</v>
      </c>
      <c r="F26" s="26">
        <v>888.07950000000005</v>
      </c>
      <c r="G26" s="21">
        <v>1027.6430544787938</v>
      </c>
      <c r="H26" s="27">
        <v>2</v>
      </c>
      <c r="I26" s="23">
        <f t="shared" si="3"/>
        <v>0.57857604779684346</v>
      </c>
      <c r="J26" s="23">
        <f t="shared" si="4"/>
        <v>1.1571520955936869</v>
      </c>
      <c r="K26" s="28">
        <v>2205364000</v>
      </c>
      <c r="L26" s="29">
        <f>K26+(K26*L30)</f>
        <v>2646436800</v>
      </c>
      <c r="M26" s="40">
        <f t="shared" si="5"/>
        <v>2979954.8351245578</v>
      </c>
      <c r="N26" s="87" t="s">
        <v>88</v>
      </c>
    </row>
    <row r="27" spans="2:14" x14ac:dyDescent="0.35">
      <c r="B27" s="542"/>
      <c r="C27" s="20">
        <v>10</v>
      </c>
      <c r="D27" s="20" t="s">
        <v>142</v>
      </c>
      <c r="E27" s="20" t="s">
        <v>143</v>
      </c>
      <c r="F27" s="30">
        <v>613.54240000000004</v>
      </c>
      <c r="G27" s="31">
        <v>3247.7625996182169</v>
      </c>
      <c r="H27" s="32">
        <v>5</v>
      </c>
      <c r="I27" s="33">
        <f t="shared" si="3"/>
        <v>1.0586921456832377</v>
      </c>
      <c r="J27" s="33">
        <f t="shared" si="4"/>
        <v>5.2934607284161892</v>
      </c>
      <c r="K27" s="34">
        <v>1815186000</v>
      </c>
      <c r="L27" s="35">
        <f>K27+(K27*L30)</f>
        <v>2178223200</v>
      </c>
      <c r="M27" s="41">
        <f t="shared" si="5"/>
        <v>3550240.7005611998</v>
      </c>
      <c r="N27" s="89" t="s">
        <v>88</v>
      </c>
    </row>
    <row r="28" spans="2:14" ht="12.75" customHeight="1" x14ac:dyDescent="0.35">
      <c r="B28" s="573" t="s">
        <v>248</v>
      </c>
      <c r="C28" s="574"/>
      <c r="D28" s="574"/>
      <c r="E28" s="574"/>
      <c r="F28" s="90">
        <f>SUM(F18:F27)</f>
        <v>12175.242499999998</v>
      </c>
      <c r="G28" s="91">
        <f>SUM(G18:G27)</f>
        <v>17622.554908966966</v>
      </c>
      <c r="H28" s="92"/>
      <c r="I28" s="93"/>
      <c r="J28" s="93"/>
      <c r="K28" s="94">
        <f>SUM(K18:K27)</f>
        <v>31181485000</v>
      </c>
      <c r="L28" s="94">
        <f>SUM(L18:L27)</f>
        <v>37417782000</v>
      </c>
      <c r="M28" s="93">
        <f>AVERAGE(M18:M27)</f>
        <v>3160390.1316654431</v>
      </c>
      <c r="N28" s="91"/>
    </row>
    <row r="29" spans="2:14" x14ac:dyDescent="0.35">
      <c r="B29" s="575" t="s">
        <v>159</v>
      </c>
      <c r="C29" s="576"/>
      <c r="D29" s="576"/>
      <c r="E29" s="576"/>
      <c r="F29" s="211">
        <f>F17+F28</f>
        <v>23633.236799999999</v>
      </c>
      <c r="G29" s="211">
        <f>G17+G28</f>
        <v>33171.391156671816</v>
      </c>
      <c r="H29" s="212"/>
      <c r="I29" s="457">
        <f>AVERAGE(I6:I16,I18:I27)</f>
        <v>0.78286715482041624</v>
      </c>
      <c r="J29" s="457">
        <f>AVERAGE(J6:J16,J18:J27)</f>
        <v>1.4504857763720829</v>
      </c>
      <c r="K29" s="213">
        <f>K17+K28</f>
        <v>65295129000</v>
      </c>
      <c r="L29" s="213">
        <f>L17+L28</f>
        <v>78354154800</v>
      </c>
      <c r="M29" s="214">
        <f>AVERAGE(M6:M16,M18:M27)</f>
        <v>3356263.4848411642</v>
      </c>
      <c r="N29" s="215"/>
    </row>
    <row r="30" spans="2:14" x14ac:dyDescent="0.35">
      <c r="B30" s="1"/>
      <c r="C30" s="1"/>
      <c r="D30" s="1"/>
      <c r="E30" s="1"/>
      <c r="F30" s="9"/>
      <c r="G30" s="9"/>
      <c r="H30" s="2"/>
      <c r="J30" s="2"/>
      <c r="K30" s="2"/>
      <c r="L30" s="5">
        <v>0.2</v>
      </c>
      <c r="M30" s="403"/>
    </row>
    <row r="31" spans="2:14" x14ac:dyDescent="0.35">
      <c r="B31" s="1"/>
      <c r="C31" s="1"/>
      <c r="D31" s="1"/>
      <c r="E31" s="1"/>
      <c r="F31" s="2"/>
      <c r="G31" s="2"/>
      <c r="H31" s="2"/>
      <c r="J31" s="2"/>
      <c r="K31" s="2"/>
      <c r="L31" s="5"/>
      <c r="M31" s="3"/>
    </row>
    <row r="37" spans="6:12" x14ac:dyDescent="0.35">
      <c r="L37" s="10" t="s">
        <v>62</v>
      </c>
    </row>
    <row r="40" spans="6:12" x14ac:dyDescent="0.35">
      <c r="F40" s="61" t="s">
        <v>62</v>
      </c>
    </row>
    <row r="45" spans="6:12" x14ac:dyDescent="0.35">
      <c r="G45" s="61" t="s">
        <v>62</v>
      </c>
    </row>
  </sheetData>
  <sheetProtection sheet="1" objects="1" scenarios="1" selectLockedCells="1" selectUnlockedCells="1"/>
  <mergeCells count="5">
    <mergeCell ref="B6:B16"/>
    <mergeCell ref="B17:E17"/>
    <mergeCell ref="B18:B27"/>
    <mergeCell ref="B28:E28"/>
    <mergeCell ref="B29:E29"/>
  </mergeCells>
  <pageMargins left="0.25" right="0.25" top="0.75" bottom="0.75" header="0.3" footer="0.3"/>
  <pageSetup paperSize="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15238-3C6C-407E-8B88-AD25E0E64C07}">
  <sheetPr>
    <tabColor rgb="FF44546A"/>
    <pageSetUpPr fitToPage="1"/>
  </sheetPr>
  <dimension ref="A1:K28"/>
  <sheetViews>
    <sheetView zoomScale="90" zoomScaleNormal="90" workbookViewId="0">
      <selection activeCell="J9" sqref="J9"/>
    </sheetView>
  </sheetViews>
  <sheetFormatPr baseColWidth="10" defaultColWidth="9.1796875" defaultRowHeight="14.5" x14ac:dyDescent="0.35"/>
  <cols>
    <col min="1" max="1" width="9.1796875" style="6"/>
    <col min="2" max="2" width="10.453125" style="6" customWidth="1"/>
    <col min="3" max="3" width="4.7265625" style="6" customWidth="1"/>
    <col min="4" max="4" width="10.54296875" style="6" customWidth="1"/>
    <col min="5" max="5" width="15.453125" style="11" bestFit="1" customWidth="1"/>
    <col min="6" max="6" width="17.1796875" style="6" customWidth="1"/>
    <col min="7" max="7" width="44.26953125" style="14" customWidth="1"/>
    <col min="8" max="8" width="36.54296875" style="13" customWidth="1"/>
    <col min="9" max="9" width="9.1796875" style="6"/>
    <col min="10" max="10" width="37.81640625" style="6" customWidth="1"/>
    <col min="11" max="11" width="36.54296875" style="6" customWidth="1"/>
    <col min="12" max="16384" width="9.1796875" style="6"/>
  </cols>
  <sheetData>
    <row r="1" spans="1:10" x14ac:dyDescent="0.35">
      <c r="B1" s="60" t="s">
        <v>475</v>
      </c>
      <c r="E1" s="6"/>
      <c r="G1" s="6"/>
      <c r="H1" s="6"/>
    </row>
    <row r="3" spans="1:10" x14ac:dyDescent="0.35">
      <c r="B3" s="99" t="s">
        <v>73</v>
      </c>
      <c r="C3" s="100" t="s">
        <v>74</v>
      </c>
      <c r="D3" s="100" t="s">
        <v>75</v>
      </c>
      <c r="E3" s="100" t="s">
        <v>81</v>
      </c>
      <c r="F3" s="100" t="s">
        <v>249</v>
      </c>
      <c r="G3" s="101" t="s">
        <v>76</v>
      </c>
      <c r="H3" s="102" t="s">
        <v>250</v>
      </c>
      <c r="I3" s="6" t="s">
        <v>62</v>
      </c>
    </row>
    <row r="4" spans="1:10" x14ac:dyDescent="0.35">
      <c r="B4" s="554" t="s">
        <v>83</v>
      </c>
      <c r="C4" s="16">
        <v>1</v>
      </c>
      <c r="D4" s="16" t="s">
        <v>84</v>
      </c>
      <c r="E4" s="16" t="s">
        <v>85</v>
      </c>
      <c r="F4" s="16" t="s">
        <v>251</v>
      </c>
      <c r="G4" s="77" t="s">
        <v>86</v>
      </c>
      <c r="H4" s="77" t="s">
        <v>252</v>
      </c>
    </row>
    <row r="5" spans="1:10" ht="57.75" customHeight="1" x14ac:dyDescent="0.35">
      <c r="B5" s="554"/>
      <c r="C5" s="17">
        <v>2</v>
      </c>
      <c r="D5" s="17" t="s">
        <v>89</v>
      </c>
      <c r="E5" s="17" t="s">
        <v>90</v>
      </c>
      <c r="F5" s="17" t="s">
        <v>253</v>
      </c>
      <c r="G5" s="18" t="s">
        <v>91</v>
      </c>
      <c r="H5" s="19" t="s">
        <v>252</v>
      </c>
    </row>
    <row r="6" spans="1:10" ht="45.75" customHeight="1" x14ac:dyDescent="0.35">
      <c r="B6" s="554"/>
      <c r="C6" s="17">
        <v>3</v>
      </c>
      <c r="D6" s="17" t="s">
        <v>93</v>
      </c>
      <c r="E6" s="17" t="s">
        <v>94</v>
      </c>
      <c r="F6" s="17" t="s">
        <v>254</v>
      </c>
      <c r="G6" s="18" t="s">
        <v>91</v>
      </c>
      <c r="H6" s="19" t="s">
        <v>252</v>
      </c>
    </row>
    <row r="7" spans="1:10" x14ac:dyDescent="0.35">
      <c r="B7" s="554"/>
      <c r="C7" s="17">
        <v>4</v>
      </c>
      <c r="D7" s="17" t="s">
        <v>95</v>
      </c>
      <c r="E7" s="17" t="s">
        <v>96</v>
      </c>
      <c r="F7" s="17" t="s">
        <v>255</v>
      </c>
      <c r="G7" s="19" t="s">
        <v>97</v>
      </c>
      <c r="H7" s="19" t="s">
        <v>252</v>
      </c>
    </row>
    <row r="8" spans="1:10" ht="35.25" customHeight="1" x14ac:dyDescent="0.35">
      <c r="B8" s="554"/>
      <c r="C8" s="17">
        <v>5</v>
      </c>
      <c r="D8" s="17" t="s">
        <v>99</v>
      </c>
      <c r="E8" s="17" t="s">
        <v>100</v>
      </c>
      <c r="F8" s="17" t="s">
        <v>256</v>
      </c>
      <c r="G8" s="18" t="s">
        <v>91</v>
      </c>
      <c r="H8" s="19" t="s">
        <v>252</v>
      </c>
    </row>
    <row r="9" spans="1:10" ht="48.75" customHeight="1" x14ac:dyDescent="0.35">
      <c r="B9" s="554"/>
      <c r="C9" s="17">
        <v>6</v>
      </c>
      <c r="D9" s="17" t="s">
        <v>101</v>
      </c>
      <c r="E9" s="17" t="s">
        <v>102</v>
      </c>
      <c r="F9" s="17" t="s">
        <v>257</v>
      </c>
      <c r="G9" s="18" t="s">
        <v>91</v>
      </c>
      <c r="H9" s="19" t="s">
        <v>252</v>
      </c>
    </row>
    <row r="10" spans="1:10" x14ac:dyDescent="0.35">
      <c r="B10" s="554"/>
      <c r="C10" s="17">
        <v>7</v>
      </c>
      <c r="D10" s="17" t="s">
        <v>103</v>
      </c>
      <c r="E10" s="17" t="s">
        <v>104</v>
      </c>
      <c r="F10" s="17" t="s">
        <v>258</v>
      </c>
      <c r="G10" s="18" t="s">
        <v>105</v>
      </c>
      <c r="H10" s="19" t="s">
        <v>259</v>
      </c>
    </row>
    <row r="11" spans="1:10" x14ac:dyDescent="0.35">
      <c r="A11" s="12"/>
      <c r="B11" s="554"/>
      <c r="C11" s="17">
        <v>8</v>
      </c>
      <c r="D11" s="17" t="s">
        <v>106</v>
      </c>
      <c r="E11" s="17" t="s">
        <v>107</v>
      </c>
      <c r="F11" s="17" t="s">
        <v>260</v>
      </c>
      <c r="G11" s="18" t="s">
        <v>108</v>
      </c>
      <c r="H11" s="19" t="s">
        <v>252</v>
      </c>
    </row>
    <row r="12" spans="1:10" x14ac:dyDescent="0.35">
      <c r="B12" s="554"/>
      <c r="C12" s="17">
        <v>9</v>
      </c>
      <c r="D12" s="17" t="s">
        <v>109</v>
      </c>
      <c r="E12" s="17" t="s">
        <v>110</v>
      </c>
      <c r="F12" s="17" t="s">
        <v>261</v>
      </c>
      <c r="G12" s="19" t="s">
        <v>111</v>
      </c>
      <c r="H12" s="19" t="s">
        <v>252</v>
      </c>
    </row>
    <row r="13" spans="1:10" x14ac:dyDescent="0.35">
      <c r="B13" s="554"/>
      <c r="C13" s="17">
        <v>10</v>
      </c>
      <c r="D13" s="17" t="s">
        <v>112</v>
      </c>
      <c r="E13" s="17" t="s">
        <v>113</v>
      </c>
      <c r="F13" s="17" t="s">
        <v>262</v>
      </c>
      <c r="G13" s="19" t="s">
        <v>114</v>
      </c>
      <c r="H13" s="19" t="s">
        <v>252</v>
      </c>
    </row>
    <row r="14" spans="1:10" x14ac:dyDescent="0.35">
      <c r="B14" s="554"/>
      <c r="C14" s="20">
        <v>11</v>
      </c>
      <c r="D14" s="20" t="s">
        <v>115</v>
      </c>
      <c r="E14" s="20" t="s">
        <v>116</v>
      </c>
      <c r="F14" s="20" t="s">
        <v>263</v>
      </c>
      <c r="G14" s="78" t="s">
        <v>117</v>
      </c>
      <c r="H14" s="78" t="s">
        <v>252</v>
      </c>
      <c r="J14" s="6" t="s">
        <v>62</v>
      </c>
    </row>
    <row r="15" spans="1:10" x14ac:dyDescent="0.35">
      <c r="B15" s="555" t="s">
        <v>118</v>
      </c>
      <c r="C15" s="45">
        <v>1</v>
      </c>
      <c r="D15" s="45" t="s">
        <v>119</v>
      </c>
      <c r="E15" s="45" t="s">
        <v>120</v>
      </c>
      <c r="F15" s="45" t="s">
        <v>264</v>
      </c>
      <c r="G15" s="79" t="s">
        <v>121</v>
      </c>
      <c r="H15" s="79" t="s">
        <v>252</v>
      </c>
    </row>
    <row r="16" spans="1:10" x14ac:dyDescent="0.35">
      <c r="B16" s="556"/>
      <c r="C16" s="17">
        <v>2</v>
      </c>
      <c r="D16" s="17" t="s">
        <v>122</v>
      </c>
      <c r="E16" s="17" t="s">
        <v>123</v>
      </c>
      <c r="F16" s="17" t="s">
        <v>265</v>
      </c>
      <c r="G16" s="18" t="s">
        <v>124</v>
      </c>
      <c r="H16" s="18" t="s">
        <v>252</v>
      </c>
    </row>
    <row r="17" spans="2:11" x14ac:dyDescent="0.35">
      <c r="B17" s="556"/>
      <c r="C17" s="17">
        <v>3</v>
      </c>
      <c r="D17" s="17" t="s">
        <v>125</v>
      </c>
      <c r="E17" s="17" t="s">
        <v>126</v>
      </c>
      <c r="F17" s="17" t="s">
        <v>266</v>
      </c>
      <c r="G17" s="18" t="s">
        <v>127</v>
      </c>
      <c r="H17" s="18" t="s">
        <v>252</v>
      </c>
    </row>
    <row r="18" spans="2:11" x14ac:dyDescent="0.35">
      <c r="B18" s="556"/>
      <c r="C18" s="17">
        <v>4</v>
      </c>
      <c r="D18" s="17" t="s">
        <v>128</v>
      </c>
      <c r="E18" s="17" t="s">
        <v>129</v>
      </c>
      <c r="F18" s="17" t="s">
        <v>267</v>
      </c>
      <c r="G18" s="18" t="s">
        <v>124</v>
      </c>
      <c r="H18" s="18" t="s">
        <v>252</v>
      </c>
    </row>
    <row r="19" spans="2:11" x14ac:dyDescent="0.35">
      <c r="B19" s="556"/>
      <c r="C19" s="17">
        <v>5</v>
      </c>
      <c r="D19" s="17" t="s">
        <v>130</v>
      </c>
      <c r="E19" s="17" t="s">
        <v>131</v>
      </c>
      <c r="F19" s="17" t="s">
        <v>268</v>
      </c>
      <c r="G19" s="18" t="s">
        <v>132</v>
      </c>
      <c r="H19" s="18" t="s">
        <v>252</v>
      </c>
    </row>
    <row r="20" spans="2:11" ht="36" x14ac:dyDescent="0.35">
      <c r="B20" s="556"/>
      <c r="C20" s="17">
        <v>6</v>
      </c>
      <c r="D20" s="17" t="s">
        <v>133</v>
      </c>
      <c r="E20" s="17" t="s">
        <v>134</v>
      </c>
      <c r="F20" s="17" t="s">
        <v>269</v>
      </c>
      <c r="G20" s="18" t="s">
        <v>132</v>
      </c>
      <c r="H20" s="18" t="s">
        <v>270</v>
      </c>
    </row>
    <row r="21" spans="2:11" x14ac:dyDescent="0.35">
      <c r="B21" s="556"/>
      <c r="C21" s="17">
        <v>7</v>
      </c>
      <c r="D21" s="17" t="s">
        <v>135</v>
      </c>
      <c r="E21" s="17" t="s">
        <v>136</v>
      </c>
      <c r="F21" s="17" t="s">
        <v>271</v>
      </c>
      <c r="G21" s="18" t="s">
        <v>137</v>
      </c>
      <c r="H21" s="18" t="s">
        <v>252</v>
      </c>
    </row>
    <row r="22" spans="2:11" x14ac:dyDescent="0.35">
      <c r="B22" s="556"/>
      <c r="C22" s="17">
        <v>8</v>
      </c>
      <c r="D22" s="17" t="s">
        <v>138</v>
      </c>
      <c r="E22" s="17" t="s">
        <v>139</v>
      </c>
      <c r="F22" s="17" t="s">
        <v>272</v>
      </c>
      <c r="G22" s="18" t="s">
        <v>132</v>
      </c>
      <c r="H22" s="18" t="s">
        <v>252</v>
      </c>
    </row>
    <row r="23" spans="2:11" x14ac:dyDescent="0.35">
      <c r="B23" s="556"/>
      <c r="C23" s="17">
        <v>9</v>
      </c>
      <c r="D23" s="17" t="s">
        <v>140</v>
      </c>
      <c r="E23" s="17" t="s">
        <v>141</v>
      </c>
      <c r="F23" s="17" t="s">
        <v>273</v>
      </c>
      <c r="G23" s="18" t="s">
        <v>132</v>
      </c>
      <c r="H23" s="18" t="s">
        <v>252</v>
      </c>
    </row>
    <row r="24" spans="2:11" ht="55.5" customHeight="1" x14ac:dyDescent="0.35">
      <c r="B24" s="556"/>
      <c r="C24" s="17">
        <v>10</v>
      </c>
      <c r="D24" s="17" t="s">
        <v>142</v>
      </c>
      <c r="E24" s="17" t="s">
        <v>143</v>
      </c>
      <c r="F24" s="17" t="s">
        <v>274</v>
      </c>
      <c r="G24" s="18" t="s">
        <v>144</v>
      </c>
      <c r="H24" s="18" t="s">
        <v>275</v>
      </c>
    </row>
    <row r="25" spans="2:11" s="47" customFormat="1" x14ac:dyDescent="0.35">
      <c r="B25" s="48"/>
      <c r="C25" s="48"/>
      <c r="D25" s="48"/>
      <c r="E25" s="48"/>
      <c r="F25" s="48"/>
      <c r="G25" s="49"/>
      <c r="H25" s="50"/>
    </row>
    <row r="26" spans="2:11" ht="21" hidden="1" customHeight="1" thickBot="1" x14ac:dyDescent="0.4">
      <c r="F26" s="6" t="s">
        <v>62</v>
      </c>
      <c r="G26" s="14" t="s">
        <v>62</v>
      </c>
      <c r="J26" s="106" t="s">
        <v>276</v>
      </c>
      <c r="K26" s="103" t="s">
        <v>277</v>
      </c>
    </row>
    <row r="27" spans="2:11" ht="26.5" hidden="1" thickBot="1" x14ac:dyDescent="0.4">
      <c r="G27" s="14" t="s">
        <v>62</v>
      </c>
      <c r="J27" s="107" t="s">
        <v>259</v>
      </c>
      <c r="K27" s="104" t="s">
        <v>278</v>
      </c>
    </row>
    <row r="28" spans="2:11" ht="106.5" hidden="1" customHeight="1" x14ac:dyDescent="0.35">
      <c r="J28" s="108" t="s">
        <v>279</v>
      </c>
      <c r="K28" s="105" t="s">
        <v>280</v>
      </c>
    </row>
  </sheetData>
  <sheetProtection sheet="1" objects="1" scenarios="1" selectLockedCells="1" selectUnlockedCells="1"/>
  <mergeCells count="2">
    <mergeCell ref="B4:B14"/>
    <mergeCell ref="B15:B24"/>
  </mergeCells>
  <pageMargins left="0.25" right="0.25" top="0.75" bottom="0.75" header="0.3" footer="0.3"/>
  <pageSetup paperSize="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18E70-F9B3-49FF-99CA-B94CAFE6E809}">
  <sheetPr>
    <tabColor rgb="FF203764"/>
    <pageSetUpPr fitToPage="1"/>
  </sheetPr>
  <dimension ref="B1:O159"/>
  <sheetViews>
    <sheetView workbookViewId="0">
      <selection activeCell="G14" sqref="G14"/>
    </sheetView>
  </sheetViews>
  <sheetFormatPr baseColWidth="10" defaultColWidth="9.1796875" defaultRowHeight="14.5" x14ac:dyDescent="0.35"/>
  <cols>
    <col min="1" max="1" width="9.1796875" style="6"/>
    <col min="2" max="2" width="34.7265625" style="6" customWidth="1"/>
    <col min="3" max="7" width="15.1796875" style="6" customWidth="1"/>
    <col min="8" max="8" width="15.1796875" style="13" customWidth="1"/>
    <col min="9" max="13" width="15.1796875" style="6" customWidth="1"/>
    <col min="14" max="16384" width="9.1796875" style="6"/>
  </cols>
  <sheetData>
    <row r="1" spans="2:10" x14ac:dyDescent="0.35">
      <c r="B1" s="60" t="s">
        <v>476</v>
      </c>
      <c r="H1" s="6"/>
    </row>
    <row r="2" spans="2:10" x14ac:dyDescent="0.35">
      <c r="H2" s="454"/>
      <c r="I2" s="455"/>
    </row>
    <row r="3" spans="2:10" s="346" customFormat="1" ht="18.5" x14ac:dyDescent="0.45">
      <c r="B3" s="347" t="s">
        <v>281</v>
      </c>
      <c r="C3" s="347"/>
      <c r="D3" s="347"/>
      <c r="E3" s="347"/>
      <c r="F3" s="347"/>
      <c r="G3" s="347"/>
      <c r="H3" s="452"/>
      <c r="I3" s="452"/>
      <c r="J3" s="453"/>
    </row>
    <row r="5" spans="2:10" ht="15.5" x14ac:dyDescent="0.35">
      <c r="B5" s="579" t="s">
        <v>197</v>
      </c>
      <c r="C5" s="580"/>
      <c r="D5" s="580"/>
      <c r="E5" s="580"/>
      <c r="F5" s="581"/>
      <c r="G5" s="237"/>
    </row>
    <row r="6" spans="2:10" ht="15.75" customHeight="1" x14ac:dyDescent="0.35">
      <c r="B6" s="582"/>
      <c r="C6" s="594" t="s">
        <v>77</v>
      </c>
      <c r="D6" s="595"/>
      <c r="E6" s="596"/>
      <c r="F6" s="617" t="s">
        <v>198</v>
      </c>
    </row>
    <row r="7" spans="2:10" x14ac:dyDescent="0.35">
      <c r="B7" s="583"/>
      <c r="C7" s="51" t="s">
        <v>199</v>
      </c>
      <c r="D7" s="51" t="s">
        <v>200</v>
      </c>
      <c r="E7" s="158" t="s">
        <v>170</v>
      </c>
      <c r="F7" s="618"/>
    </row>
    <row r="8" spans="2:10" x14ac:dyDescent="0.35">
      <c r="B8" s="131" t="s">
        <v>201</v>
      </c>
      <c r="C8" s="126"/>
      <c r="D8" s="126"/>
      <c r="E8" s="266">
        <v>31802.980200000002</v>
      </c>
      <c r="F8" s="295">
        <v>1</v>
      </c>
      <c r="G8" s="149" t="s">
        <v>282</v>
      </c>
    </row>
    <row r="9" spans="2:10" x14ac:dyDescent="0.35">
      <c r="B9" s="139" t="s">
        <v>283</v>
      </c>
      <c r="C9" s="144">
        <f>C11-C10</f>
        <v>2059.3050999999978</v>
      </c>
      <c r="D9" s="144">
        <f>D11-D10</f>
        <v>1710.7098000000024</v>
      </c>
      <c r="E9" s="301">
        <f>C9+D9</f>
        <v>3770.0149000000001</v>
      </c>
      <c r="F9" s="296">
        <f>E9/E8</f>
        <v>0.11854281819789958</v>
      </c>
      <c r="G9" s="149" t="s">
        <v>284</v>
      </c>
    </row>
    <row r="10" spans="2:10" x14ac:dyDescent="0.35">
      <c r="B10" s="139" t="s">
        <v>285</v>
      </c>
      <c r="C10" s="144">
        <f>'Configuración predial actual'!F17</f>
        <v>11457.994300000002</v>
      </c>
      <c r="D10" s="144">
        <f>'Configuración predial actual'!F28</f>
        <v>12175.242499999998</v>
      </c>
      <c r="E10" s="301">
        <f>C10+D10</f>
        <v>23633.236799999999</v>
      </c>
      <c r="F10" s="297">
        <f>E10/E8</f>
        <v>0.7431139047780182</v>
      </c>
      <c r="G10" s="13"/>
    </row>
    <row r="11" spans="2:10" x14ac:dyDescent="0.35">
      <c r="B11" s="132" t="s">
        <v>202</v>
      </c>
      <c r="C11" s="127">
        <v>13517.2994</v>
      </c>
      <c r="D11" s="127">
        <v>13885.952300000001</v>
      </c>
      <c r="E11" s="302">
        <f>C11+D11</f>
        <v>27403.251700000001</v>
      </c>
      <c r="F11" s="298">
        <f>E11/E8</f>
        <v>0.86165672297591778</v>
      </c>
      <c r="G11" s="169"/>
    </row>
    <row r="12" spans="2:10" x14ac:dyDescent="0.35">
      <c r="B12" s="133" t="s">
        <v>286</v>
      </c>
      <c r="C12" s="128">
        <v>6.5061999999999998</v>
      </c>
      <c r="D12" s="128">
        <v>0</v>
      </c>
      <c r="E12" s="303">
        <f>C12+D12</f>
        <v>6.5061999999999998</v>
      </c>
      <c r="F12" s="299">
        <f>E12/E8</f>
        <v>2.0457831181494116E-4</v>
      </c>
      <c r="G12" s="149" t="s">
        <v>287</v>
      </c>
    </row>
    <row r="13" spans="2:10" x14ac:dyDescent="0.35">
      <c r="B13" s="134" t="s">
        <v>203</v>
      </c>
      <c r="C13" s="129"/>
      <c r="D13" s="129"/>
      <c r="E13" s="304">
        <f>E8-(E11+E12)</f>
        <v>4393.2223000000013</v>
      </c>
      <c r="F13" s="300">
        <f>E13/E8</f>
        <v>0.13813869871226725</v>
      </c>
      <c r="G13" s="149" t="s">
        <v>284</v>
      </c>
    </row>
    <row r="14" spans="2:10" x14ac:dyDescent="0.35">
      <c r="B14" s="175"/>
      <c r="C14" s="176"/>
      <c r="D14" s="174"/>
      <c r="E14" s="174"/>
      <c r="F14" s="76"/>
      <c r="G14" s="76"/>
    </row>
    <row r="15" spans="2:10" s="47" customFormat="1" x14ac:dyDescent="0.35">
      <c r="B15" s="121"/>
      <c r="C15" s="122"/>
      <c r="D15" s="123"/>
      <c r="E15" s="123"/>
      <c r="F15" s="124"/>
      <c r="G15" s="124"/>
      <c r="H15" s="163"/>
    </row>
    <row r="16" spans="2:10" s="47" customFormat="1" x14ac:dyDescent="0.35">
      <c r="B16" s="121"/>
      <c r="C16" s="122"/>
      <c r="D16" s="123"/>
      <c r="E16" s="123"/>
      <c r="F16" s="124"/>
      <c r="G16" s="124"/>
      <c r="H16" s="163"/>
    </row>
    <row r="17" spans="2:12" s="47" customFormat="1" x14ac:dyDescent="0.35">
      <c r="B17" s="121"/>
      <c r="C17" s="122"/>
      <c r="D17" s="123"/>
      <c r="E17" s="123"/>
      <c r="F17" s="124"/>
      <c r="G17" s="124"/>
      <c r="H17" s="163"/>
    </row>
    <row r="18" spans="2:12" s="47" customFormat="1" x14ac:dyDescent="0.35">
      <c r="B18" s="121"/>
      <c r="C18" s="122"/>
      <c r="D18" s="123"/>
      <c r="E18" s="123"/>
      <c r="F18" s="124"/>
      <c r="G18" s="124"/>
      <c r="H18" s="163"/>
    </row>
    <row r="19" spans="2:12" s="47" customFormat="1" x14ac:dyDescent="0.35">
      <c r="B19" s="121"/>
      <c r="C19" s="122"/>
      <c r="D19" s="123"/>
      <c r="E19" s="123"/>
      <c r="F19" s="124"/>
      <c r="G19" s="124"/>
      <c r="H19" s="163"/>
    </row>
    <row r="20" spans="2:12" s="47" customFormat="1" x14ac:dyDescent="0.35">
      <c r="B20" s="121"/>
      <c r="C20" s="122"/>
      <c r="D20" s="123"/>
      <c r="E20" s="123"/>
      <c r="F20" s="124"/>
      <c r="G20" s="124"/>
      <c r="H20" s="163"/>
    </row>
    <row r="21" spans="2:12" s="47" customFormat="1" x14ac:dyDescent="0.35">
      <c r="B21" s="121"/>
      <c r="C21" s="122"/>
      <c r="D21" s="123"/>
      <c r="E21" s="123"/>
      <c r="F21" s="124"/>
      <c r="G21" s="124"/>
      <c r="H21" s="163"/>
      <c r="L21" s="47" t="s">
        <v>62</v>
      </c>
    </row>
    <row r="22" spans="2:12" s="47" customFormat="1" x14ac:dyDescent="0.35">
      <c r="B22" s="121"/>
      <c r="C22" s="122"/>
      <c r="D22" s="123"/>
      <c r="E22" s="123"/>
      <c r="F22" s="124"/>
      <c r="G22" s="124"/>
      <c r="H22" s="163"/>
      <c r="L22" s="168"/>
    </row>
    <row r="23" spans="2:12" s="47" customFormat="1" x14ac:dyDescent="0.35">
      <c r="B23" s="121"/>
      <c r="C23" s="122"/>
      <c r="D23" s="123"/>
      <c r="E23" s="123"/>
      <c r="F23" s="124"/>
      <c r="G23" s="124"/>
      <c r="H23" s="163"/>
      <c r="L23" s="168" t="s">
        <v>62</v>
      </c>
    </row>
    <row r="24" spans="2:12" s="47" customFormat="1" x14ac:dyDescent="0.35">
      <c r="B24" s="121"/>
      <c r="C24" s="122"/>
      <c r="D24" s="123"/>
      <c r="E24" s="123"/>
      <c r="F24" s="124"/>
      <c r="G24" s="124"/>
      <c r="H24" s="163"/>
      <c r="L24" s="168" t="s">
        <v>62</v>
      </c>
    </row>
    <row r="25" spans="2:12" s="47" customFormat="1" x14ac:dyDescent="0.35">
      <c r="B25" s="121"/>
      <c r="C25" s="122"/>
      <c r="D25" s="123"/>
      <c r="E25" s="123"/>
      <c r="F25" s="124"/>
      <c r="G25" s="124"/>
      <c r="H25" s="163"/>
      <c r="L25" s="168" t="s">
        <v>62</v>
      </c>
    </row>
    <row r="26" spans="2:12" s="47" customFormat="1" x14ac:dyDescent="0.35">
      <c r="B26" s="121"/>
      <c r="C26" s="122"/>
      <c r="D26" s="123"/>
      <c r="E26" s="123"/>
      <c r="F26" s="124"/>
      <c r="G26" s="124"/>
      <c r="H26" s="163"/>
    </row>
    <row r="27" spans="2:12" x14ac:dyDescent="0.35">
      <c r="B27" s="55"/>
      <c r="C27" s="56"/>
      <c r="D27" s="56"/>
      <c r="E27" s="56"/>
      <c r="F27" s="57"/>
      <c r="G27" s="57"/>
    </row>
    <row r="28" spans="2:12" ht="15.5" x14ac:dyDescent="0.35">
      <c r="B28" s="579" t="s">
        <v>288</v>
      </c>
      <c r="C28" s="580"/>
      <c r="D28" s="580"/>
      <c r="E28" s="580"/>
      <c r="F28" s="581"/>
      <c r="G28" s="237"/>
    </row>
    <row r="29" spans="2:12" s="47" customFormat="1" x14ac:dyDescent="0.35">
      <c r="B29" s="584"/>
      <c r="C29" s="588" t="s">
        <v>204</v>
      </c>
      <c r="D29" s="589"/>
      <c r="E29" s="619"/>
      <c r="F29" s="592" t="s">
        <v>198</v>
      </c>
    </row>
    <row r="30" spans="2:12" ht="15.75" customHeight="1" x14ac:dyDescent="0.35">
      <c r="B30" s="584"/>
      <c r="C30" s="51" t="s">
        <v>199</v>
      </c>
      <c r="D30" s="51" t="s">
        <v>200</v>
      </c>
      <c r="E30" s="158" t="s">
        <v>170</v>
      </c>
      <c r="F30" s="593"/>
      <c r="G30" s="13"/>
    </row>
    <row r="31" spans="2:12" s="47" customFormat="1" x14ac:dyDescent="0.35">
      <c r="B31" s="131" t="s">
        <v>201</v>
      </c>
      <c r="C31" s="130"/>
      <c r="D31" s="130"/>
      <c r="E31" s="266">
        <f>E8</f>
        <v>31802.980200000002</v>
      </c>
      <c r="F31" s="295">
        <f>F8</f>
        <v>1</v>
      </c>
    </row>
    <row r="32" spans="2:12" s="47" customFormat="1" x14ac:dyDescent="0.35">
      <c r="B32" s="135" t="s">
        <v>289</v>
      </c>
      <c r="C32" s="129"/>
      <c r="D32" s="129"/>
      <c r="E32" s="311">
        <f>E31</f>
        <v>31802.980200000002</v>
      </c>
      <c r="F32" s="305">
        <f>E32/E31</f>
        <v>1</v>
      </c>
    </row>
    <row r="33" spans="2:10" s="47" customFormat="1" x14ac:dyDescent="0.35">
      <c r="B33" s="136" t="s">
        <v>205</v>
      </c>
      <c r="C33" s="147">
        <v>0</v>
      </c>
      <c r="D33" s="147">
        <v>0</v>
      </c>
      <c r="E33" s="312">
        <v>0</v>
      </c>
      <c r="F33" s="306">
        <f>E33/E32</f>
        <v>0</v>
      </c>
    </row>
    <row r="34" spans="2:10" s="47" customFormat="1" x14ac:dyDescent="0.35">
      <c r="B34" s="132" t="s">
        <v>240</v>
      </c>
      <c r="C34" s="148"/>
      <c r="D34" s="148"/>
      <c r="E34" s="125">
        <f>E32-E35</f>
        <v>7825.538700000001</v>
      </c>
      <c r="F34" s="298">
        <f>E34/E31</f>
        <v>0.2460630623541375</v>
      </c>
      <c r="G34" s="149" t="s">
        <v>290</v>
      </c>
    </row>
    <row r="35" spans="2:10" s="47" customFormat="1" x14ac:dyDescent="0.35">
      <c r="B35" s="131" t="s">
        <v>206</v>
      </c>
      <c r="C35" s="170">
        <f>11728.8529+C37</f>
        <v>11802.198899999999</v>
      </c>
      <c r="D35" s="170">
        <f>12102.9987+D37</f>
        <v>12175.2426</v>
      </c>
      <c r="E35" s="266">
        <f>C35+D35</f>
        <v>23977.441500000001</v>
      </c>
      <c r="F35" s="295">
        <f>F32-F34</f>
        <v>0.75393693764586245</v>
      </c>
      <c r="G35" s="149"/>
      <c r="I35" s="168"/>
      <c r="J35" s="168"/>
    </row>
    <row r="36" spans="2:10" s="47" customFormat="1" x14ac:dyDescent="0.35">
      <c r="B36" s="140" t="s">
        <v>291</v>
      </c>
      <c r="C36" s="146">
        <v>393.2604</v>
      </c>
      <c r="D36" s="146">
        <v>0</v>
      </c>
      <c r="E36" s="301">
        <f>C36+D36</f>
        <v>393.2604</v>
      </c>
      <c r="F36" s="307">
        <f>E36/E35</f>
        <v>1.6401266165116075E-2</v>
      </c>
      <c r="G36" s="149" t="s">
        <v>292</v>
      </c>
      <c r="J36" s="168"/>
    </row>
    <row r="37" spans="2:10" s="47" customFormat="1" x14ac:dyDescent="0.35">
      <c r="B37" s="140" t="s">
        <v>207</v>
      </c>
      <c r="C37" s="146">
        <f>73.346</f>
        <v>73.346000000000004</v>
      </c>
      <c r="D37" s="146">
        <f>72.2439</f>
        <v>72.243899999999996</v>
      </c>
      <c r="E37" s="301">
        <f>C37+D37</f>
        <v>145.5899</v>
      </c>
      <c r="F37" s="307">
        <f>E37/E35</f>
        <v>6.0719530897406209E-3</v>
      </c>
      <c r="G37" s="149" t="s">
        <v>293</v>
      </c>
    </row>
    <row r="38" spans="2:10" s="47" customFormat="1" x14ac:dyDescent="0.35">
      <c r="B38" s="179" t="s">
        <v>294</v>
      </c>
      <c r="C38" s="146">
        <f>'Configuración predial actual'!F12</f>
        <v>1218.5317</v>
      </c>
      <c r="D38" s="146">
        <v>0</v>
      </c>
      <c r="E38" s="301">
        <f>C38+D38</f>
        <v>1218.5317</v>
      </c>
      <c r="F38" s="307">
        <f>E38/E35</f>
        <v>5.081992171683538E-2</v>
      </c>
      <c r="G38" s="149" t="s">
        <v>295</v>
      </c>
    </row>
    <row r="39" spans="2:10" s="47" customFormat="1" x14ac:dyDescent="0.35">
      <c r="B39" s="179" t="s">
        <v>296</v>
      </c>
      <c r="C39" s="146">
        <v>0</v>
      </c>
      <c r="D39" s="146">
        <v>1235.8646000000001</v>
      </c>
      <c r="E39" s="301">
        <f t="shared" ref="E39" si="0">C39+D39</f>
        <v>1235.8646000000001</v>
      </c>
      <c r="F39" s="307">
        <f>E39/E35</f>
        <v>5.1542805348936002E-2</v>
      </c>
      <c r="G39" s="149" t="s">
        <v>297</v>
      </c>
    </row>
    <row r="40" spans="2:10" s="47" customFormat="1" x14ac:dyDescent="0.35">
      <c r="B40" s="137" t="s">
        <v>298</v>
      </c>
      <c r="C40" s="167">
        <f>5585.8746-196.58035</f>
        <v>5389.2942499999999</v>
      </c>
      <c r="D40" s="167">
        <f>5912.1759-196.58035</f>
        <v>5715.59555</v>
      </c>
      <c r="E40" s="313">
        <f>C40+D40</f>
        <v>11104.889800000001</v>
      </c>
      <c r="F40" s="308">
        <f>E40/E35</f>
        <v>0.46313906344010891</v>
      </c>
      <c r="G40" s="149" t="s">
        <v>293</v>
      </c>
    </row>
    <row r="41" spans="2:10" x14ac:dyDescent="0.35">
      <c r="B41" s="138" t="s">
        <v>299</v>
      </c>
      <c r="C41" s="141">
        <f>SUM(C36:C40)</f>
        <v>7074.43235</v>
      </c>
      <c r="D41" s="141">
        <f>SUM(D36:D40)</f>
        <v>7023.7040500000003</v>
      </c>
      <c r="E41" s="314">
        <f>SUM(E36:E40)</f>
        <v>14098.136400000001</v>
      </c>
      <c r="F41" s="309">
        <f>E41/E35</f>
        <v>0.58797500976073702</v>
      </c>
      <c r="G41" s="13"/>
    </row>
    <row r="42" spans="2:10" s="47" customFormat="1" ht="14.5" customHeight="1" x14ac:dyDescent="0.35">
      <c r="B42" s="142" t="s">
        <v>4</v>
      </c>
      <c r="C42" s="143">
        <v>4924.3465999999999</v>
      </c>
      <c r="D42" s="143">
        <v>4954.9584999999997</v>
      </c>
      <c r="E42" s="315">
        <f>E35-E41</f>
        <v>9879.3050999999996</v>
      </c>
      <c r="F42" s="310">
        <f>E42/E35</f>
        <v>0.41202499023926298</v>
      </c>
    </row>
    <row r="43" spans="2:10" x14ac:dyDescent="0.35">
      <c r="B43" s="175"/>
      <c r="C43" s="176"/>
      <c r="D43" s="174"/>
      <c r="E43" s="174"/>
      <c r="F43" s="76"/>
      <c r="G43" s="76"/>
    </row>
    <row r="44" spans="2:10" x14ac:dyDescent="0.35">
      <c r="B44" s="175"/>
      <c r="C44" s="176"/>
      <c r="D44" s="174"/>
      <c r="E44" s="174"/>
      <c r="F44" s="76"/>
      <c r="G44" s="76"/>
    </row>
    <row r="45" spans="2:10" x14ac:dyDescent="0.35">
      <c r="B45" s="175"/>
      <c r="C45" s="176"/>
      <c r="D45" s="174"/>
      <c r="E45" s="174"/>
      <c r="F45" s="76"/>
      <c r="G45" s="76"/>
    </row>
    <row r="46" spans="2:10" x14ac:dyDescent="0.35">
      <c r="B46" s="175"/>
      <c r="C46" s="176"/>
      <c r="D46" s="174"/>
      <c r="E46" s="174"/>
      <c r="F46" s="76"/>
      <c r="G46" s="76"/>
    </row>
    <row r="47" spans="2:10" x14ac:dyDescent="0.35">
      <c r="B47" s="175"/>
      <c r="C47" s="176"/>
      <c r="D47" s="174"/>
      <c r="E47" s="174"/>
      <c r="F47" s="76"/>
      <c r="G47" s="76"/>
    </row>
    <row r="48" spans="2:10" x14ac:dyDescent="0.35">
      <c r="B48" s="175"/>
      <c r="C48" s="176"/>
      <c r="D48" s="174"/>
      <c r="E48" s="174"/>
      <c r="F48" s="76"/>
      <c r="G48" s="76"/>
    </row>
    <row r="49" spans="2:7" x14ac:dyDescent="0.35">
      <c r="B49" s="175"/>
      <c r="C49" s="176"/>
      <c r="D49" s="174"/>
      <c r="E49" s="174"/>
      <c r="F49" s="76"/>
      <c r="G49" s="76"/>
    </row>
    <row r="50" spans="2:7" x14ac:dyDescent="0.35">
      <c r="B50" s="175"/>
      <c r="C50" s="176"/>
      <c r="D50" s="174"/>
      <c r="E50" s="174"/>
      <c r="F50" s="76"/>
      <c r="G50" s="76"/>
    </row>
    <row r="51" spans="2:7" x14ac:dyDescent="0.35">
      <c r="B51" s="175"/>
      <c r="C51" s="176"/>
      <c r="D51" s="174"/>
      <c r="E51" s="174"/>
      <c r="F51" s="76"/>
      <c r="G51" s="76"/>
    </row>
    <row r="52" spans="2:7" x14ac:dyDescent="0.35">
      <c r="B52" s="175"/>
      <c r="C52" s="176"/>
      <c r="D52" s="174"/>
      <c r="E52" s="174"/>
      <c r="F52" s="76"/>
      <c r="G52" s="76"/>
    </row>
    <row r="53" spans="2:7" x14ac:dyDescent="0.35">
      <c r="B53" s="175"/>
      <c r="C53" s="176"/>
      <c r="D53" s="174"/>
      <c r="E53" s="174"/>
      <c r="F53" s="76"/>
      <c r="G53" s="76"/>
    </row>
    <row r="54" spans="2:7" x14ac:dyDescent="0.35">
      <c r="B54" s="175"/>
      <c r="C54" s="176"/>
      <c r="D54" s="174"/>
      <c r="E54" s="174"/>
      <c r="F54" s="76"/>
      <c r="G54" s="76"/>
    </row>
    <row r="55" spans="2:7" x14ac:dyDescent="0.35">
      <c r="B55" s="175"/>
      <c r="C55" s="176"/>
      <c r="D55" s="174"/>
      <c r="E55" s="174"/>
      <c r="F55" s="76"/>
      <c r="G55" s="76"/>
    </row>
    <row r="56" spans="2:7" x14ac:dyDescent="0.35">
      <c r="B56" s="55"/>
      <c r="C56" s="56"/>
      <c r="D56" s="56"/>
      <c r="E56" s="56"/>
      <c r="F56" s="57"/>
      <c r="G56" s="57"/>
    </row>
    <row r="57" spans="2:7" s="47" customFormat="1" x14ac:dyDescent="0.35">
      <c r="B57" s="582"/>
      <c r="C57" s="594" t="s">
        <v>204</v>
      </c>
      <c r="D57" s="595"/>
      <c r="E57" s="596"/>
      <c r="F57" s="592" t="s">
        <v>198</v>
      </c>
    </row>
    <row r="58" spans="2:7" ht="15.75" customHeight="1" x14ac:dyDescent="0.35">
      <c r="B58" s="583"/>
      <c r="C58" s="51" t="s">
        <v>199</v>
      </c>
      <c r="D58" s="51" t="s">
        <v>200</v>
      </c>
      <c r="E58" s="158" t="s">
        <v>170</v>
      </c>
      <c r="F58" s="593"/>
      <c r="G58" s="13"/>
    </row>
    <row r="59" spans="2:7" s="47" customFormat="1" x14ac:dyDescent="0.35">
      <c r="B59" s="178" t="s">
        <v>300</v>
      </c>
      <c r="C59" s="146">
        <f>C38*2</f>
        <v>2437.0634</v>
      </c>
      <c r="D59" s="146">
        <f>D38</f>
        <v>0</v>
      </c>
      <c r="E59" s="301">
        <f>C59+D59</f>
        <v>2437.0634</v>
      </c>
      <c r="F59" s="307">
        <f>E59/E35</f>
        <v>0.10163984343367076</v>
      </c>
      <c r="G59" s="149" t="s">
        <v>301</v>
      </c>
    </row>
    <row r="60" spans="2:7" s="47" customFormat="1" x14ac:dyDescent="0.35">
      <c r="B60" s="178" t="s">
        <v>302</v>
      </c>
      <c r="C60" s="146">
        <v>0</v>
      </c>
      <c r="D60" s="146">
        <f>758.8757+780.4215+D39</f>
        <v>2775.1617999999999</v>
      </c>
      <c r="E60" s="301">
        <f>C60+D60</f>
        <v>2775.1617999999999</v>
      </c>
      <c r="F60" s="307">
        <f>E60/E35</f>
        <v>0.11574053053158319</v>
      </c>
      <c r="G60" s="149" t="s">
        <v>303</v>
      </c>
    </row>
    <row r="61" spans="2:7" s="47" customFormat="1" x14ac:dyDescent="0.35">
      <c r="B61" s="177" t="s">
        <v>304</v>
      </c>
      <c r="C61" s="145">
        <f>C36+C37+C40</f>
        <v>5855.9006499999996</v>
      </c>
      <c r="D61" s="145">
        <f>D36+D37+D40</f>
        <v>5787.8394500000004</v>
      </c>
      <c r="E61" s="316">
        <f>C61+D61</f>
        <v>11643.740099999999</v>
      </c>
      <c r="F61" s="308">
        <f>E61/E35</f>
        <v>0.48561228269496554</v>
      </c>
      <c r="G61" s="149" t="s">
        <v>305</v>
      </c>
    </row>
    <row r="62" spans="2:7" x14ac:dyDescent="0.35">
      <c r="B62" s="138" t="s">
        <v>306</v>
      </c>
      <c r="C62" s="141">
        <f>SUM(C59:C61)</f>
        <v>8292.9640499999987</v>
      </c>
      <c r="D62" s="141">
        <f>SUM(D59:D61)</f>
        <v>8563.0012500000012</v>
      </c>
      <c r="E62" s="314">
        <f>SUM(E59:E61)</f>
        <v>16855.9653</v>
      </c>
      <c r="F62" s="309">
        <f>E62/E35</f>
        <v>0.70299265666021948</v>
      </c>
      <c r="G62" s="149" t="s">
        <v>293</v>
      </c>
    </row>
    <row r="63" spans="2:7" x14ac:dyDescent="0.35">
      <c r="B63" s="175"/>
      <c r="C63" s="176"/>
      <c r="D63" s="174"/>
      <c r="E63" s="174"/>
      <c r="F63" s="76"/>
      <c r="G63" s="76"/>
    </row>
    <row r="64" spans="2:7" x14ac:dyDescent="0.35">
      <c r="B64" s="175"/>
      <c r="C64" s="176"/>
      <c r="D64" s="174"/>
      <c r="E64" s="174"/>
      <c r="F64" s="76"/>
      <c r="G64" s="76"/>
    </row>
    <row r="65" spans="2:13" x14ac:dyDescent="0.35">
      <c r="B65" s="175"/>
      <c r="C65" s="176"/>
      <c r="D65" s="174"/>
      <c r="E65" s="174"/>
      <c r="F65" s="76"/>
      <c r="G65" s="76"/>
    </row>
    <row r="66" spans="2:13" x14ac:dyDescent="0.35">
      <c r="B66" s="175"/>
      <c r="C66" s="176"/>
      <c r="D66" s="174"/>
      <c r="E66" s="174"/>
      <c r="F66" s="76"/>
      <c r="G66" s="76"/>
    </row>
    <row r="67" spans="2:13" x14ac:dyDescent="0.35">
      <c r="B67" s="175"/>
      <c r="C67" s="176"/>
      <c r="D67" s="174"/>
      <c r="E67" s="174"/>
      <c r="F67" s="76"/>
      <c r="G67" s="76"/>
    </row>
    <row r="68" spans="2:13" x14ac:dyDescent="0.35">
      <c r="B68" s="175"/>
      <c r="C68" s="176"/>
      <c r="D68" s="174"/>
      <c r="E68" s="174"/>
      <c r="F68" s="76"/>
      <c r="G68" s="76"/>
    </row>
    <row r="69" spans="2:13" x14ac:dyDescent="0.35">
      <c r="B69" s="175"/>
      <c r="C69" s="176"/>
      <c r="D69" s="174"/>
      <c r="E69" s="174"/>
      <c r="F69" s="76"/>
      <c r="G69" s="76"/>
    </row>
    <row r="70" spans="2:13" x14ac:dyDescent="0.35">
      <c r="B70" s="175"/>
      <c r="C70" s="176"/>
      <c r="D70" s="174"/>
      <c r="E70" s="174"/>
      <c r="F70" s="76"/>
      <c r="G70" s="76"/>
    </row>
    <row r="71" spans="2:13" x14ac:dyDescent="0.35">
      <c r="B71" s="175"/>
      <c r="C71" s="176"/>
      <c r="D71" s="174"/>
      <c r="E71" s="174"/>
      <c r="F71" s="76"/>
      <c r="G71" s="76"/>
    </row>
    <row r="72" spans="2:13" x14ac:dyDescent="0.35">
      <c r="B72" s="175"/>
      <c r="C72" s="176"/>
      <c r="D72" s="174"/>
      <c r="E72" s="174"/>
      <c r="F72" s="76"/>
      <c r="G72" s="76"/>
    </row>
    <row r="73" spans="2:13" x14ac:dyDescent="0.35">
      <c r="B73" s="175"/>
      <c r="C73" s="176"/>
      <c r="D73" s="174"/>
      <c r="E73" s="174"/>
      <c r="F73" s="76"/>
      <c r="G73" s="76"/>
    </row>
    <row r="74" spans="2:13" x14ac:dyDescent="0.35">
      <c r="B74" s="175"/>
      <c r="C74" s="176"/>
      <c r="D74" s="174"/>
      <c r="E74" s="174"/>
      <c r="F74" s="76"/>
      <c r="G74" s="76"/>
    </row>
    <row r="75" spans="2:13" x14ac:dyDescent="0.35">
      <c r="B75" s="175"/>
      <c r="C75" s="176"/>
      <c r="D75" s="174"/>
      <c r="E75" s="174"/>
      <c r="F75" s="76"/>
      <c r="G75" s="76"/>
    </row>
    <row r="76" spans="2:13" x14ac:dyDescent="0.35">
      <c r="B76" s="55"/>
      <c r="C76" s="56"/>
      <c r="D76" s="56"/>
      <c r="E76" s="56"/>
      <c r="F76" s="57"/>
      <c r="G76" s="57"/>
    </row>
    <row r="77" spans="2:13" x14ac:dyDescent="0.35">
      <c r="B77" s="591"/>
      <c r="C77" s="597" t="s">
        <v>208</v>
      </c>
      <c r="D77" s="598"/>
      <c r="E77" s="599"/>
      <c r="F77" s="600" t="s">
        <v>198</v>
      </c>
      <c r="G77" s="620" t="s">
        <v>209</v>
      </c>
      <c r="H77" s="621"/>
      <c r="I77" s="622"/>
      <c r="J77" s="603" t="s">
        <v>307</v>
      </c>
      <c r="K77" s="604"/>
      <c r="L77" s="604"/>
    </row>
    <row r="78" spans="2:13" x14ac:dyDescent="0.35">
      <c r="B78" s="591"/>
      <c r="C78" s="323" t="s">
        <v>199</v>
      </c>
      <c r="D78" s="51" t="s">
        <v>200</v>
      </c>
      <c r="E78" s="158" t="s">
        <v>170</v>
      </c>
      <c r="F78" s="601"/>
      <c r="G78" s="336" t="s">
        <v>199</v>
      </c>
      <c r="H78" s="150" t="s">
        <v>200</v>
      </c>
      <c r="I78" s="334" t="s">
        <v>170</v>
      </c>
      <c r="J78" s="340" t="s">
        <v>199</v>
      </c>
      <c r="K78" s="341" t="s">
        <v>200</v>
      </c>
      <c r="L78" s="271" t="s">
        <v>170</v>
      </c>
    </row>
    <row r="79" spans="2:13" x14ac:dyDescent="0.35">
      <c r="B79" s="317" t="s">
        <v>210</v>
      </c>
      <c r="C79" s="324">
        <v>3501.1505000000002</v>
      </c>
      <c r="D79" s="59">
        <v>3367.8582000000001</v>
      </c>
      <c r="E79" s="159">
        <f>C79+D79</f>
        <v>6869.0087000000003</v>
      </c>
      <c r="F79" s="328">
        <v>1</v>
      </c>
      <c r="G79" s="332">
        <f>SUM(G80:G85)</f>
        <v>2319.0414999999998</v>
      </c>
      <c r="H79" s="59">
        <f>SUM(H80:H85)</f>
        <v>2100.7330000000002</v>
      </c>
      <c r="I79" s="159">
        <f>G79+H79</f>
        <v>4419.7744999999995</v>
      </c>
      <c r="J79" s="610"/>
      <c r="K79" s="611"/>
      <c r="L79" s="612"/>
    </row>
    <row r="80" spans="2:13" x14ac:dyDescent="0.35">
      <c r="B80" s="318" t="s">
        <v>88</v>
      </c>
      <c r="C80" s="325">
        <f>C79-(SUM(C81:C85))</f>
        <v>3184.98254</v>
      </c>
      <c r="D80" s="156">
        <f>D79-(SUM(D81:D85))</f>
        <v>2914.9110000000001</v>
      </c>
      <c r="E80" s="125">
        <f t="shared" ref="E80:E85" si="1">C80+D80</f>
        <v>6099.89354</v>
      </c>
      <c r="F80" s="329">
        <f>I80/I79</f>
        <v>1</v>
      </c>
      <c r="G80" s="337">
        <f>1197.9288+525.1916+138.3197+457.6014</f>
        <v>2319.0414999999998</v>
      </c>
      <c r="H80" s="156">
        <f>1016.9562+1083.7768</f>
        <v>2100.7330000000002</v>
      </c>
      <c r="I80" s="335">
        <f>G80+H80</f>
        <v>4419.7744999999995</v>
      </c>
      <c r="J80" s="333">
        <f>G80/F138</f>
        <v>5.1534255555555548</v>
      </c>
      <c r="K80" s="187">
        <f>H80/F138</f>
        <v>4.6682955555555559</v>
      </c>
      <c r="L80" s="342">
        <f>J80+K80</f>
        <v>9.8217211111111098</v>
      </c>
      <c r="M80" s="149" t="s">
        <v>308</v>
      </c>
    </row>
    <row r="81" spans="2:15" x14ac:dyDescent="0.35">
      <c r="B81" s="319" t="s">
        <v>309</v>
      </c>
      <c r="C81" s="325">
        <v>59.191099999999999</v>
      </c>
      <c r="D81" s="156">
        <v>71.082599999999999</v>
      </c>
      <c r="E81" s="125">
        <f t="shared" si="1"/>
        <v>130.27369999999999</v>
      </c>
      <c r="F81" s="329">
        <f>I81/I79</f>
        <v>0</v>
      </c>
      <c r="G81" s="337"/>
      <c r="H81" s="156"/>
      <c r="I81" s="335"/>
      <c r="J81" s="333"/>
      <c r="K81" s="187"/>
      <c r="L81" s="342"/>
      <c r="M81" s="149" t="s">
        <v>308</v>
      </c>
    </row>
    <row r="82" spans="2:15" x14ac:dyDescent="0.35">
      <c r="B82" s="319" t="s">
        <v>310</v>
      </c>
      <c r="C82" s="325"/>
      <c r="D82" s="156">
        <f>61.8248+36</f>
        <v>97.82480000000001</v>
      </c>
      <c r="E82" s="125">
        <f t="shared" si="1"/>
        <v>97.82480000000001</v>
      </c>
      <c r="F82" s="329">
        <f>I82/I79</f>
        <v>0</v>
      </c>
      <c r="G82" s="337"/>
      <c r="H82" s="156"/>
      <c r="I82" s="335"/>
      <c r="J82" s="333"/>
      <c r="K82" s="187"/>
      <c r="L82" s="342"/>
      <c r="M82" s="149" t="s">
        <v>308</v>
      </c>
    </row>
    <row r="83" spans="2:15" x14ac:dyDescent="0.35">
      <c r="B83" s="319" t="s">
        <v>311</v>
      </c>
      <c r="C83" s="325">
        <f>40.2805+18</f>
        <v>58.280500000000004</v>
      </c>
      <c r="D83" s="156">
        <v>68.115099999999998</v>
      </c>
      <c r="E83" s="125">
        <f t="shared" si="1"/>
        <v>126.3956</v>
      </c>
      <c r="F83" s="329">
        <f>I83/I79</f>
        <v>0</v>
      </c>
      <c r="G83" s="337"/>
      <c r="H83" s="156"/>
      <c r="I83" s="335"/>
      <c r="J83" s="333"/>
      <c r="K83" s="187"/>
      <c r="L83" s="342"/>
      <c r="M83" s="149" t="s">
        <v>312</v>
      </c>
      <c r="O83" s="66"/>
    </row>
    <row r="84" spans="2:15" x14ac:dyDescent="0.35">
      <c r="B84" s="320" t="s">
        <v>313</v>
      </c>
      <c r="C84" s="325">
        <f>40.4114+18</f>
        <v>58.4114</v>
      </c>
      <c r="D84" s="156"/>
      <c r="E84" s="125">
        <f t="shared" si="1"/>
        <v>58.4114</v>
      </c>
      <c r="F84" s="329">
        <f>I84/I79</f>
        <v>0</v>
      </c>
      <c r="G84" s="337"/>
      <c r="H84" s="156"/>
      <c r="I84" s="335"/>
      <c r="J84" s="333"/>
      <c r="K84" s="187"/>
      <c r="L84" s="342"/>
      <c r="M84" s="149" t="s">
        <v>312</v>
      </c>
    </row>
    <row r="85" spans="2:15" x14ac:dyDescent="0.35">
      <c r="B85" s="319" t="s">
        <v>314</v>
      </c>
      <c r="C85" s="325">
        <f>75.6421+28.64286+36</f>
        <v>140.28496000000001</v>
      </c>
      <c r="D85" s="156">
        <f>287.0073-D81</f>
        <v>215.92469999999997</v>
      </c>
      <c r="E85" s="125">
        <f t="shared" si="1"/>
        <v>356.20965999999999</v>
      </c>
      <c r="F85" s="329">
        <f>I85/I79</f>
        <v>0</v>
      </c>
      <c r="G85" s="337"/>
      <c r="H85" s="156"/>
      <c r="I85" s="335"/>
      <c r="J85" s="333"/>
      <c r="K85" s="187"/>
      <c r="L85" s="342"/>
      <c r="M85" s="149" t="s">
        <v>315</v>
      </c>
    </row>
    <row r="86" spans="2:15" x14ac:dyDescent="0.35">
      <c r="B86" s="317" t="s">
        <v>214</v>
      </c>
      <c r="C86" s="324">
        <f>C79</f>
        <v>3501.1505000000002</v>
      </c>
      <c r="D86" s="59">
        <f>D79</f>
        <v>3367.8582000000001</v>
      </c>
      <c r="E86" s="159">
        <f>C86+D86</f>
        <v>6869.0087000000003</v>
      </c>
      <c r="F86" s="328">
        <v>1</v>
      </c>
      <c r="G86" s="332">
        <f>SUM(G87:G91)</f>
        <v>3066.7478999999998</v>
      </c>
      <c r="H86" s="59">
        <f>SUM(H87:H91)</f>
        <v>2411.2124000000003</v>
      </c>
      <c r="I86" s="159">
        <f>G86+H86</f>
        <v>5477.9603000000006</v>
      </c>
      <c r="J86" s="607"/>
      <c r="K86" s="608"/>
      <c r="L86" s="609"/>
    </row>
    <row r="87" spans="2:15" x14ac:dyDescent="0.35">
      <c r="B87" s="318" t="s">
        <v>191</v>
      </c>
      <c r="C87" s="325">
        <f>C86-(SUM(C88:C91))</f>
        <v>3429.1505000000002</v>
      </c>
      <c r="D87" s="156">
        <f>D86-(SUM(D88:D91))</f>
        <v>3235.8582000000001</v>
      </c>
      <c r="E87" s="125">
        <f t="shared" ref="E87:E91" si="2">C87+D87</f>
        <v>6665.0087000000003</v>
      </c>
      <c r="F87" s="329">
        <f>I87/I86</f>
        <v>1</v>
      </c>
      <c r="G87" s="337">
        <f>611.9247+(2490.8232-(C89+C90))</f>
        <v>3066.7478999999998</v>
      </c>
      <c r="H87" s="156">
        <f>(1156.6681-(D89+D88))+(1386.5443-D91)</f>
        <v>2411.2124000000003</v>
      </c>
      <c r="I87" s="335">
        <f>G87+H87</f>
        <v>5477.9603000000006</v>
      </c>
      <c r="J87" s="333">
        <f>G87/F139</f>
        <v>30.667479</v>
      </c>
      <c r="K87" s="187">
        <f>H87/F139</f>
        <v>24.112124000000005</v>
      </c>
      <c r="L87" s="342">
        <f>J87+K87</f>
        <v>54.779603000000009</v>
      </c>
      <c r="M87" s="149" t="s">
        <v>316</v>
      </c>
    </row>
    <row r="88" spans="2:15" x14ac:dyDescent="0.35">
      <c r="B88" s="319" t="s">
        <v>310</v>
      </c>
      <c r="C88" s="325"/>
      <c r="D88" s="156">
        <v>36</v>
      </c>
      <c r="E88" s="125">
        <f t="shared" si="2"/>
        <v>36</v>
      </c>
      <c r="F88" s="329">
        <f>I88/I86</f>
        <v>0</v>
      </c>
      <c r="G88" s="337"/>
      <c r="H88" s="156"/>
      <c r="I88" s="335"/>
      <c r="J88" s="333"/>
      <c r="K88" s="187"/>
      <c r="L88" s="342"/>
      <c r="M88" s="149" t="s">
        <v>317</v>
      </c>
    </row>
    <row r="89" spans="2:15" x14ac:dyDescent="0.35">
      <c r="B89" s="319" t="s">
        <v>311</v>
      </c>
      <c r="C89" s="325">
        <v>18</v>
      </c>
      <c r="D89" s="156">
        <v>36</v>
      </c>
      <c r="E89" s="125">
        <f t="shared" si="2"/>
        <v>54</v>
      </c>
      <c r="F89" s="329">
        <f>I89/I86</f>
        <v>0</v>
      </c>
      <c r="G89" s="337"/>
      <c r="H89" s="156"/>
      <c r="I89" s="335"/>
      <c r="J89" s="333"/>
      <c r="K89" s="187"/>
      <c r="L89" s="342"/>
      <c r="M89" s="149" t="s">
        <v>312</v>
      </c>
    </row>
    <row r="90" spans="2:15" x14ac:dyDescent="0.35">
      <c r="B90" s="320" t="s">
        <v>313</v>
      </c>
      <c r="C90" s="325">
        <v>18</v>
      </c>
      <c r="D90" s="156"/>
      <c r="E90" s="125">
        <f t="shared" si="2"/>
        <v>18</v>
      </c>
      <c r="F90" s="329">
        <f>I90/I86</f>
        <v>0</v>
      </c>
      <c r="G90" s="337"/>
      <c r="H90" s="156"/>
      <c r="I90" s="335"/>
      <c r="J90" s="333"/>
      <c r="K90" s="187"/>
      <c r="L90" s="342"/>
      <c r="M90" s="149" t="s">
        <v>312</v>
      </c>
    </row>
    <row r="91" spans="2:15" x14ac:dyDescent="0.35">
      <c r="B91" s="319" t="s">
        <v>314</v>
      </c>
      <c r="C91" s="325">
        <v>36</v>
      </c>
      <c r="D91" s="156">
        <v>60</v>
      </c>
      <c r="E91" s="125">
        <f t="shared" si="2"/>
        <v>96</v>
      </c>
      <c r="F91" s="329">
        <f>I91/I86</f>
        <v>0</v>
      </c>
      <c r="G91" s="337"/>
      <c r="H91" s="156"/>
      <c r="I91" s="335"/>
      <c r="J91" s="333"/>
      <c r="K91" s="187"/>
      <c r="L91" s="342"/>
      <c r="M91" s="149" t="s">
        <v>318</v>
      </c>
    </row>
    <row r="92" spans="2:15" x14ac:dyDescent="0.35">
      <c r="B92" s="317" t="s">
        <v>215</v>
      </c>
      <c r="C92" s="324">
        <f>C42</f>
        <v>4924.3465999999999</v>
      </c>
      <c r="D92" s="59">
        <f>D42</f>
        <v>4954.9584999999997</v>
      </c>
      <c r="E92" s="159">
        <f>C92+D92</f>
        <v>9879.3050999999996</v>
      </c>
      <c r="F92" s="328">
        <v>1</v>
      </c>
      <c r="G92" s="332">
        <f>SUM(G93:G97)</f>
        <v>4465.0511999999999</v>
      </c>
      <c r="H92" s="59">
        <f>SUM(H93:H97)</f>
        <v>3816.4308000000001</v>
      </c>
      <c r="I92" s="159">
        <f>G92+H92</f>
        <v>8281.482</v>
      </c>
      <c r="J92" s="607"/>
      <c r="K92" s="608"/>
      <c r="L92" s="609"/>
      <c r="M92" s="149"/>
    </row>
    <row r="93" spans="2:15" x14ac:dyDescent="0.35">
      <c r="B93" s="318" t="s">
        <v>191</v>
      </c>
      <c r="C93" s="325">
        <f>C92-(SUM(C94:C97))</f>
        <v>4852.3465999999999</v>
      </c>
      <c r="D93" s="156">
        <f>D92-(SUM(D94:D97))</f>
        <v>4822.9584999999997</v>
      </c>
      <c r="E93" s="125">
        <f t="shared" ref="E93:E97" si="3">C93+D93</f>
        <v>9675.3050999999996</v>
      </c>
      <c r="F93" s="329">
        <f>I93/I92</f>
        <v>1</v>
      </c>
      <c r="G93" s="337">
        <f>(3793.4114-(C95+C96))+707.6398</f>
        <v>4465.0511999999999</v>
      </c>
      <c r="H93" s="156">
        <f>(2049.1455-D97)+(1899.2853-(D94+D95))</f>
        <v>3816.4308000000001</v>
      </c>
      <c r="I93" s="335">
        <f>G93+H93</f>
        <v>8281.482</v>
      </c>
      <c r="J93" s="333">
        <f>G93/F139</f>
        <v>44.650511999999999</v>
      </c>
      <c r="K93" s="187">
        <f>H93/F139</f>
        <v>38.164307999999998</v>
      </c>
      <c r="L93" s="342">
        <f>J93+K93</f>
        <v>82.814819999999997</v>
      </c>
      <c r="M93" s="149" t="s">
        <v>319</v>
      </c>
    </row>
    <row r="94" spans="2:15" x14ac:dyDescent="0.35">
      <c r="B94" s="319" t="s">
        <v>310</v>
      </c>
      <c r="C94" s="325"/>
      <c r="D94" s="156">
        <v>36</v>
      </c>
      <c r="E94" s="125">
        <f>C94+D94</f>
        <v>36</v>
      </c>
      <c r="F94" s="329">
        <f>I94/I92</f>
        <v>0</v>
      </c>
      <c r="G94" s="337"/>
      <c r="H94" s="156"/>
      <c r="I94" s="335"/>
      <c r="J94" s="333"/>
      <c r="K94" s="187"/>
      <c r="L94" s="342"/>
      <c r="M94" s="149" t="s">
        <v>319</v>
      </c>
    </row>
    <row r="95" spans="2:15" x14ac:dyDescent="0.35">
      <c r="B95" s="319" t="s">
        <v>311</v>
      </c>
      <c r="C95" s="325">
        <v>18</v>
      </c>
      <c r="D95" s="156">
        <v>36</v>
      </c>
      <c r="E95" s="125">
        <f t="shared" si="3"/>
        <v>54</v>
      </c>
      <c r="F95" s="329">
        <f>I95/I92</f>
        <v>0</v>
      </c>
      <c r="G95" s="337"/>
      <c r="H95" s="156"/>
      <c r="I95" s="335"/>
      <c r="J95" s="333"/>
      <c r="K95" s="187"/>
      <c r="L95" s="342"/>
      <c r="M95" s="149" t="s">
        <v>320</v>
      </c>
    </row>
    <row r="96" spans="2:15" x14ac:dyDescent="0.35">
      <c r="B96" s="320" t="s">
        <v>313</v>
      </c>
      <c r="C96" s="325">
        <v>18</v>
      </c>
      <c r="D96" s="156"/>
      <c r="E96" s="125">
        <f t="shared" si="3"/>
        <v>18</v>
      </c>
      <c r="F96" s="329">
        <f>I96/I92</f>
        <v>0</v>
      </c>
      <c r="G96" s="337"/>
      <c r="H96" s="156"/>
      <c r="I96" s="335"/>
      <c r="J96" s="333"/>
      <c r="K96" s="187"/>
      <c r="L96" s="342"/>
      <c r="M96" s="149" t="s">
        <v>321</v>
      </c>
    </row>
    <row r="97" spans="2:15" x14ac:dyDescent="0.35">
      <c r="B97" s="319" t="s">
        <v>314</v>
      </c>
      <c r="C97" s="325">
        <v>36</v>
      </c>
      <c r="D97" s="156">
        <v>60</v>
      </c>
      <c r="E97" s="125">
        <f t="shared" si="3"/>
        <v>96</v>
      </c>
      <c r="F97" s="329">
        <f>I97/I92</f>
        <v>0</v>
      </c>
      <c r="G97" s="337"/>
      <c r="H97" s="156"/>
      <c r="I97" s="335"/>
      <c r="J97" s="333"/>
      <c r="K97" s="187"/>
      <c r="L97" s="342"/>
      <c r="M97" s="149" t="s">
        <v>322</v>
      </c>
    </row>
    <row r="98" spans="2:15" x14ac:dyDescent="0.35">
      <c r="B98" s="321" t="s">
        <v>323</v>
      </c>
      <c r="C98" s="324">
        <f>SUM(C99:C102)</f>
        <v>39352.854500000001</v>
      </c>
      <c r="D98" s="59">
        <f>SUM(D99:D102)</f>
        <v>51590.926400000004</v>
      </c>
      <c r="E98" s="159">
        <f>SUM(E99:E102)</f>
        <v>90943.780900000012</v>
      </c>
      <c r="F98" s="328">
        <v>1</v>
      </c>
      <c r="G98" s="332">
        <f>SUM(G99:G102)</f>
        <v>29827.271400000001</v>
      </c>
      <c r="H98" s="59">
        <f>SUM(H99:H102)</f>
        <v>40518.146099999998</v>
      </c>
      <c r="I98" s="159">
        <f>G98+H98</f>
        <v>70345.417499999996</v>
      </c>
      <c r="J98" s="607"/>
      <c r="K98" s="608"/>
      <c r="L98" s="609"/>
      <c r="M98" s="149"/>
    </row>
    <row r="99" spans="2:15" x14ac:dyDescent="0.35">
      <c r="B99" s="319" t="s">
        <v>324</v>
      </c>
      <c r="C99" s="326"/>
      <c r="D99" s="224">
        <f>D144*E144</f>
        <v>6736.7110000000002</v>
      </c>
      <c r="E99" s="125">
        <f t="shared" ref="E99:E102" si="4">C99+D99</f>
        <v>6736.7110000000002</v>
      </c>
      <c r="F99" s="329">
        <f>I99/I98</f>
        <v>7.4649570457094805E-2</v>
      </c>
      <c r="G99" s="338"/>
      <c r="H99" s="224">
        <f>(D144-90.1983)*(E144-1)</f>
        <v>5251.2551999999996</v>
      </c>
      <c r="I99" s="335">
        <f>G99+H99</f>
        <v>5251.2551999999996</v>
      </c>
      <c r="J99" s="333"/>
      <c r="K99" s="187">
        <f>H99/F144</f>
        <v>175.04183999999998</v>
      </c>
      <c r="L99" s="342">
        <f>J99+K99</f>
        <v>175.04183999999998</v>
      </c>
      <c r="M99" s="149" t="s">
        <v>319</v>
      </c>
    </row>
    <row r="100" spans="2:15" x14ac:dyDescent="0.35">
      <c r="B100" s="320" t="s">
        <v>325</v>
      </c>
      <c r="C100" s="327">
        <f>D142*E142</f>
        <v>5321.7079999999996</v>
      </c>
      <c r="D100" s="223"/>
      <c r="E100" s="125">
        <f>C100+D100</f>
        <v>5321.7079999999996</v>
      </c>
      <c r="F100" s="329">
        <f>I100/I98</f>
        <v>5.104792220474063E-2</v>
      </c>
      <c r="G100" s="339">
        <f>(D142-133.1722)*(E142-1)</f>
        <v>3590.9874</v>
      </c>
      <c r="H100" s="223"/>
      <c r="I100" s="335">
        <f>G100+H100</f>
        <v>3590.9874</v>
      </c>
      <c r="J100" s="333">
        <f>G100/F142</f>
        <v>119.69958</v>
      </c>
      <c r="K100" s="187"/>
      <c r="L100" s="342">
        <f>J100+K100</f>
        <v>119.69958</v>
      </c>
      <c r="M100" s="149" t="s">
        <v>321</v>
      </c>
      <c r="O100" s="12"/>
    </row>
    <row r="101" spans="2:15" x14ac:dyDescent="0.35">
      <c r="B101" s="319" t="s">
        <v>326</v>
      </c>
      <c r="C101" s="327">
        <f>D141*E141</f>
        <v>14059.384</v>
      </c>
      <c r="D101" s="224">
        <f>D145*E145</f>
        <v>9661.1103999999996</v>
      </c>
      <c r="E101" s="125">
        <f t="shared" si="4"/>
        <v>23720.4944</v>
      </c>
      <c r="F101" s="329">
        <f>I101/I98</f>
        <v>0.2718905250651189</v>
      </c>
      <c r="G101" s="339">
        <f>(D141-107.2171)*(E141-1)</f>
        <v>11572.416000000001</v>
      </c>
      <c r="H101" s="224">
        <f>(D145-100.2303)*(E145-1)</f>
        <v>7553.8364999999994</v>
      </c>
      <c r="I101" s="335">
        <f>G101+H101</f>
        <v>19126.252500000002</v>
      </c>
      <c r="J101" s="333">
        <f>G101/F141</f>
        <v>275.53371428571432</v>
      </c>
      <c r="K101" s="187">
        <f>H101/F145</f>
        <v>167.86303333333333</v>
      </c>
      <c r="L101" s="342">
        <f>J101+K101</f>
        <v>443.39674761904769</v>
      </c>
      <c r="M101" s="149" t="s">
        <v>327</v>
      </c>
    </row>
    <row r="102" spans="2:15" x14ac:dyDescent="0.35">
      <c r="B102" s="319" t="s">
        <v>328</v>
      </c>
      <c r="C102" s="327">
        <f>D140*E140</f>
        <v>19971.762500000001</v>
      </c>
      <c r="D102" s="224">
        <f>D143*E143</f>
        <v>35193.105000000003</v>
      </c>
      <c r="E102" s="125">
        <f t="shared" si="4"/>
        <v>55164.867500000008</v>
      </c>
      <c r="F102" s="329">
        <f>I102/I98</f>
        <v>0.60241198227304582</v>
      </c>
      <c r="G102" s="339">
        <f>(D140-187.876)*(E140-1)</f>
        <v>14663.868</v>
      </c>
      <c r="H102" s="224">
        <f>(D143-253.0136)*(E143-1)</f>
        <v>27713.054400000001</v>
      </c>
      <c r="I102" s="335">
        <f>G102+H102</f>
        <v>42376.922400000003</v>
      </c>
      <c r="J102" s="333">
        <f>G102/F140</f>
        <v>183.29835</v>
      </c>
      <c r="K102" s="187">
        <f>H102/F143</f>
        <v>346.41318000000001</v>
      </c>
      <c r="L102" s="342">
        <f>J102+K102</f>
        <v>529.71153000000004</v>
      </c>
      <c r="M102" s="149" t="s">
        <v>322</v>
      </c>
    </row>
    <row r="103" spans="2:15" x14ac:dyDescent="0.35">
      <c r="B103" s="322" t="s">
        <v>159</v>
      </c>
      <c r="C103" s="586"/>
      <c r="D103" s="587"/>
      <c r="E103" s="331">
        <f>E79+E86+E92+E98</f>
        <v>114561.10340000002</v>
      </c>
      <c r="F103" s="330"/>
      <c r="G103" s="605"/>
      <c r="H103" s="587"/>
      <c r="I103" s="331">
        <f>I79+I86+I92+I98</f>
        <v>88524.634300000005</v>
      </c>
      <c r="J103" s="605"/>
      <c r="K103" s="606"/>
      <c r="L103" s="587"/>
    </row>
    <row r="104" spans="2:15" x14ac:dyDescent="0.35">
      <c r="B104" s="321" t="s">
        <v>329</v>
      </c>
      <c r="C104" s="324">
        <v>6392.9847</v>
      </c>
      <c r="D104" s="59">
        <v>8084.9305999999997</v>
      </c>
      <c r="E104" s="159">
        <f>C104+D104</f>
        <v>14477.915300000001</v>
      </c>
      <c r="F104" s="328"/>
      <c r="G104" s="610"/>
      <c r="H104" s="611"/>
      <c r="I104" s="623"/>
      <c r="J104" s="332">
        <f>(C104-(C104*40%))/2.5</f>
        <v>1534.3163279999999</v>
      </c>
      <c r="K104" s="59">
        <f>(D104-(D104*40%))/2.5</f>
        <v>1940.3833439999999</v>
      </c>
      <c r="L104" s="58">
        <f>J104+K104</f>
        <v>3474.6996719999997</v>
      </c>
      <c r="N104" s="67"/>
    </row>
    <row r="105" spans="2:15" x14ac:dyDescent="0.35">
      <c r="B105" s="343"/>
      <c r="C105" s="344"/>
      <c r="D105" s="344"/>
      <c r="E105" s="293"/>
      <c r="F105" s="294"/>
      <c r="G105" s="344"/>
      <c r="H105" s="344"/>
      <c r="I105" s="344"/>
      <c r="J105" s="344"/>
      <c r="K105" s="344"/>
      <c r="L105" s="293"/>
      <c r="N105" s="67"/>
    </row>
    <row r="106" spans="2:15" s="47" customFormat="1" x14ac:dyDescent="0.35">
      <c r="B106" s="182"/>
      <c r="C106" s="585" t="s">
        <v>330</v>
      </c>
      <c r="D106" s="585"/>
      <c r="E106" s="585" t="s">
        <v>331</v>
      </c>
      <c r="F106" s="585"/>
      <c r="G106" s="163"/>
    </row>
    <row r="107" spans="2:15" ht="14.5" customHeight="1" x14ac:dyDescent="0.35">
      <c r="B107" s="183" t="s">
        <v>216</v>
      </c>
      <c r="C107" s="181">
        <v>0.06</v>
      </c>
      <c r="D107" s="185">
        <f>E125*C107</f>
        <v>6873.666204000001</v>
      </c>
      <c r="E107" s="181">
        <f>F107/E125</f>
        <v>0.20910142525739669</v>
      </c>
      <c r="F107" s="185">
        <f>E130</f>
        <v>23954.89</v>
      </c>
      <c r="G107" s="149" t="s">
        <v>332</v>
      </c>
      <c r="H107" s="6"/>
      <c r="K107" s="602"/>
      <c r="L107" s="602"/>
      <c r="M107" s="602"/>
      <c r="N107" s="602"/>
    </row>
    <row r="108" spans="2:15" ht="14.5" customHeight="1" x14ac:dyDescent="0.35">
      <c r="B108" s="184" t="s">
        <v>333</v>
      </c>
      <c r="C108" s="181">
        <v>0.03</v>
      </c>
      <c r="D108" s="185">
        <f>E104*C108</f>
        <v>434.33745900000002</v>
      </c>
      <c r="E108" s="181">
        <f>F108/E125</f>
        <v>0</v>
      </c>
      <c r="F108" s="185">
        <v>0</v>
      </c>
      <c r="G108" s="149" t="s">
        <v>334</v>
      </c>
      <c r="H108" s="6"/>
      <c r="I108" s="247"/>
      <c r="K108" s="602"/>
      <c r="L108" s="602"/>
      <c r="M108" s="602"/>
      <c r="N108" s="602"/>
    </row>
    <row r="109" spans="2:15" x14ac:dyDescent="0.35">
      <c r="B109" s="175"/>
      <c r="C109" s="176"/>
      <c r="D109" s="174"/>
      <c r="E109" s="174"/>
      <c r="F109" s="76"/>
      <c r="G109" s="76"/>
    </row>
    <row r="110" spans="2:15" x14ac:dyDescent="0.35">
      <c r="B110" s="175"/>
      <c r="C110" s="176"/>
      <c r="D110" s="174"/>
      <c r="E110" s="174"/>
      <c r="F110" s="76"/>
      <c r="G110" s="76"/>
    </row>
    <row r="111" spans="2:15" x14ac:dyDescent="0.35">
      <c r="B111" s="175"/>
      <c r="C111" s="176"/>
      <c r="D111" s="174"/>
      <c r="E111" s="174"/>
      <c r="F111" s="76"/>
      <c r="G111" s="76"/>
    </row>
    <row r="112" spans="2:15" x14ac:dyDescent="0.35">
      <c r="B112" s="175"/>
      <c r="C112" s="176"/>
      <c r="D112" s="174"/>
      <c r="E112" s="174"/>
      <c r="F112" s="76"/>
      <c r="G112" s="76"/>
    </row>
    <row r="113" spans="2:10" x14ac:dyDescent="0.35">
      <c r="B113" s="175"/>
      <c r="C113" s="176"/>
      <c r="D113" s="174"/>
      <c r="E113" s="174"/>
      <c r="F113" s="76"/>
      <c r="G113" s="76"/>
    </row>
    <row r="114" spans="2:10" x14ac:dyDescent="0.35">
      <c r="B114" s="175"/>
      <c r="C114" s="176"/>
      <c r="D114" s="174"/>
      <c r="E114" s="174"/>
      <c r="F114" s="76"/>
      <c r="G114" s="76"/>
    </row>
    <row r="115" spans="2:10" x14ac:dyDescent="0.35">
      <c r="B115" s="175"/>
      <c r="C115" s="176"/>
      <c r="D115" s="174"/>
      <c r="E115" s="174"/>
      <c r="F115" s="76"/>
      <c r="G115" s="76"/>
    </row>
    <row r="116" spans="2:10" x14ac:dyDescent="0.35">
      <c r="B116" s="175"/>
      <c r="C116" s="176"/>
      <c r="D116" s="174"/>
      <c r="E116" s="174"/>
      <c r="F116" s="76"/>
      <c r="G116" s="76"/>
    </row>
    <row r="117" spans="2:10" x14ac:dyDescent="0.35">
      <c r="B117" s="175"/>
      <c r="C117" s="176"/>
      <c r="D117" s="174"/>
      <c r="E117" s="174"/>
      <c r="F117" s="76"/>
      <c r="G117" s="76"/>
    </row>
    <row r="118" spans="2:10" x14ac:dyDescent="0.35">
      <c r="B118" s="175"/>
      <c r="C118" s="176"/>
      <c r="D118" s="174"/>
      <c r="E118" s="174"/>
      <c r="F118" s="76"/>
      <c r="G118" s="76"/>
    </row>
    <row r="119" spans="2:10" x14ac:dyDescent="0.35">
      <c r="B119" s="175"/>
      <c r="C119" s="176"/>
      <c r="D119" s="174"/>
      <c r="E119" s="174"/>
      <c r="F119" s="76"/>
      <c r="G119" s="76"/>
    </row>
    <row r="120" spans="2:10" x14ac:dyDescent="0.35">
      <c r="B120" s="175"/>
      <c r="C120" s="176"/>
      <c r="D120" s="174"/>
      <c r="E120" s="174"/>
      <c r="F120" s="76"/>
      <c r="G120" s="76"/>
    </row>
    <row r="121" spans="2:10" x14ac:dyDescent="0.35">
      <c r="B121" s="175"/>
      <c r="C121" s="176"/>
      <c r="D121" s="174"/>
      <c r="E121" s="174"/>
      <c r="F121" s="76"/>
      <c r="G121" s="76"/>
    </row>
    <row r="122" spans="2:10" x14ac:dyDescent="0.35">
      <c r="B122" s="55"/>
      <c r="C122" s="56"/>
      <c r="D122" s="56"/>
      <c r="E122" s="56"/>
      <c r="F122" s="57"/>
      <c r="G122" s="57"/>
    </row>
    <row r="123" spans="2:10" x14ac:dyDescent="0.35">
      <c r="B123" s="584"/>
      <c r="C123" s="588" t="s">
        <v>208</v>
      </c>
      <c r="D123" s="589"/>
      <c r="E123" s="590"/>
      <c r="F123" s="613" t="s">
        <v>198</v>
      </c>
      <c r="G123" s="624" t="s">
        <v>209</v>
      </c>
      <c r="H123" s="625"/>
      <c r="I123" s="626"/>
    </row>
    <row r="124" spans="2:10" x14ac:dyDescent="0.35">
      <c r="B124" s="584"/>
      <c r="C124" s="190" t="s">
        <v>199</v>
      </c>
      <c r="D124" s="51" t="s">
        <v>200</v>
      </c>
      <c r="E124" s="191" t="s">
        <v>170</v>
      </c>
      <c r="F124" s="614"/>
      <c r="G124" s="160" t="s">
        <v>199</v>
      </c>
      <c r="H124" s="150" t="s">
        <v>200</v>
      </c>
      <c r="I124" s="151" t="s">
        <v>170</v>
      </c>
    </row>
    <row r="125" spans="2:10" x14ac:dyDescent="0.35">
      <c r="B125" s="153" t="s">
        <v>335</v>
      </c>
      <c r="C125" s="161">
        <f t="shared" ref="C125:E125" si="5">SUM(C126:C131)</f>
        <v>51279.502100000005</v>
      </c>
      <c r="D125" s="59">
        <f t="shared" si="5"/>
        <v>63281.601300000009</v>
      </c>
      <c r="E125" s="192">
        <f t="shared" si="5"/>
        <v>114561.10340000002</v>
      </c>
      <c r="F125" s="188">
        <v>1</v>
      </c>
      <c r="G125" s="161">
        <f>SUM(G126:G131)</f>
        <v>39678.112000000001</v>
      </c>
      <c r="H125" s="59">
        <f>SUM(H126:H131)</f>
        <v>48846.522299999997</v>
      </c>
      <c r="I125" s="159">
        <f>SUM(I126:I131)</f>
        <v>88524.634300000005</v>
      </c>
    </row>
    <row r="126" spans="2:10" x14ac:dyDescent="0.35">
      <c r="B126" s="136" t="s">
        <v>88</v>
      </c>
      <c r="C126" s="162">
        <f>C80</f>
        <v>3184.98254</v>
      </c>
      <c r="D126" s="156">
        <f>D80</f>
        <v>2914.9110000000001</v>
      </c>
      <c r="E126" s="193">
        <f>C126+D126</f>
        <v>6099.89354</v>
      </c>
      <c r="F126" s="189">
        <f>E126/E125</f>
        <v>5.3245764565497358E-2</v>
      </c>
      <c r="G126" s="162">
        <f>G80</f>
        <v>2319.0414999999998</v>
      </c>
      <c r="H126" s="156">
        <f>H80</f>
        <v>2100.7330000000002</v>
      </c>
      <c r="I126" s="152">
        <f>G126+H126</f>
        <v>4419.7744999999995</v>
      </c>
      <c r="J126" s="149" t="s">
        <v>336</v>
      </c>
    </row>
    <row r="127" spans="2:10" x14ac:dyDescent="0.35">
      <c r="B127" s="157" t="s">
        <v>191</v>
      </c>
      <c r="C127" s="162">
        <f>C81+C87+C93</f>
        <v>8340.6882000000005</v>
      </c>
      <c r="D127" s="156">
        <f>D81+D87+D93</f>
        <v>8129.8993</v>
      </c>
      <c r="E127" s="193">
        <f>C127+D127</f>
        <v>16470.587500000001</v>
      </c>
      <c r="F127" s="189">
        <f>E127/E125</f>
        <v>0.14377120166599233</v>
      </c>
      <c r="G127" s="162">
        <f>G87+G93</f>
        <v>7531.7991000000002</v>
      </c>
      <c r="H127" s="156">
        <f>H87+H93</f>
        <v>6227.6432000000004</v>
      </c>
      <c r="I127" s="152">
        <f t="shared" ref="I127:I131" si="6">G127+H127</f>
        <v>13759.442300000001</v>
      </c>
      <c r="J127" s="149" t="s">
        <v>337</v>
      </c>
    </row>
    <row r="128" spans="2:10" x14ac:dyDescent="0.35">
      <c r="B128" s="157" t="s">
        <v>338</v>
      </c>
      <c r="C128" s="162"/>
      <c r="D128" s="156">
        <f>D82+D88+D94+D99</f>
        <v>6906.5358000000006</v>
      </c>
      <c r="E128" s="193">
        <f t="shared" ref="E128:E131" si="7">C128+D128</f>
        <v>6906.5358000000006</v>
      </c>
      <c r="F128" s="189">
        <f>E128/E125</f>
        <v>6.0286917592659979E-2</v>
      </c>
      <c r="G128" s="162"/>
      <c r="H128" s="156">
        <f>H99</f>
        <v>5251.2551999999996</v>
      </c>
      <c r="I128" s="152">
        <f t="shared" si="6"/>
        <v>5251.2551999999996</v>
      </c>
      <c r="J128" s="149" t="s">
        <v>339</v>
      </c>
    </row>
    <row r="129" spans="2:12" x14ac:dyDescent="0.35">
      <c r="B129" s="157" t="s">
        <v>212</v>
      </c>
      <c r="C129" s="162">
        <f>C84+C90+C96+C100</f>
        <v>5416.1193999999996</v>
      </c>
      <c r="D129" s="156"/>
      <c r="E129" s="193">
        <f>C129+D129</f>
        <v>5416.1193999999996</v>
      </c>
      <c r="F129" s="189">
        <f>E129/E125</f>
        <v>4.7277123205501516E-2</v>
      </c>
      <c r="G129" s="162">
        <f>G100</f>
        <v>3590.9874</v>
      </c>
      <c r="H129" s="156"/>
      <c r="I129" s="152">
        <f>G129+H129</f>
        <v>3590.9874</v>
      </c>
      <c r="J129" s="149" t="s">
        <v>321</v>
      </c>
    </row>
    <row r="130" spans="2:12" x14ac:dyDescent="0.35">
      <c r="B130" s="157" t="s">
        <v>340</v>
      </c>
      <c r="C130" s="162">
        <f>C83+C89+C95+C101</f>
        <v>14153.664500000001</v>
      </c>
      <c r="D130" s="156">
        <f>D83+D89+D95+D101</f>
        <v>9801.2255000000005</v>
      </c>
      <c r="E130" s="193">
        <f t="shared" si="7"/>
        <v>23954.89</v>
      </c>
      <c r="F130" s="189">
        <f>E130/E125</f>
        <v>0.20910142525739669</v>
      </c>
      <c r="G130" s="162">
        <f>G101</f>
        <v>11572.416000000001</v>
      </c>
      <c r="H130" s="156">
        <f>H101</f>
        <v>7553.8364999999994</v>
      </c>
      <c r="I130" s="152">
        <f t="shared" si="6"/>
        <v>19126.252500000002</v>
      </c>
      <c r="J130" s="149" t="s">
        <v>341</v>
      </c>
    </row>
    <row r="131" spans="2:12" x14ac:dyDescent="0.35">
      <c r="B131" s="157" t="s">
        <v>213</v>
      </c>
      <c r="C131" s="194">
        <f>C85+C91+C97+C102</f>
        <v>20184.047460000002</v>
      </c>
      <c r="D131" s="172">
        <f>D85+D91+D97+D102</f>
        <v>35529.029700000006</v>
      </c>
      <c r="E131" s="193">
        <f t="shared" si="7"/>
        <v>55713.077160000008</v>
      </c>
      <c r="F131" s="189">
        <f>E131/E125</f>
        <v>0.48631756771295204</v>
      </c>
      <c r="G131" s="162">
        <f>G102</f>
        <v>14663.868</v>
      </c>
      <c r="H131" s="156">
        <f>H102</f>
        <v>27713.054400000001</v>
      </c>
      <c r="I131" s="152">
        <f t="shared" si="6"/>
        <v>42376.922400000003</v>
      </c>
      <c r="J131" s="149" t="s">
        <v>342</v>
      </c>
    </row>
    <row r="132" spans="2:12" x14ac:dyDescent="0.35">
      <c r="B132" s="171"/>
      <c r="C132" s="173"/>
      <c r="D132" s="174"/>
      <c r="E132" s="174"/>
      <c r="F132" s="76"/>
      <c r="G132" s="76"/>
      <c r="H132" s="174"/>
      <c r="I132" s="174"/>
      <c r="J132" s="76"/>
    </row>
    <row r="133" spans="2:12" ht="15.5" x14ac:dyDescent="0.35">
      <c r="B133" s="195" t="s">
        <v>343</v>
      </c>
      <c r="C133" s="197">
        <f>E125/E35</f>
        <v>4.777870207711695</v>
      </c>
      <c r="D133" s="149" t="s">
        <v>344</v>
      </c>
      <c r="E133" s="47"/>
    </row>
    <row r="134" spans="2:12" ht="15.5" x14ac:dyDescent="0.35">
      <c r="B134" s="196" t="s">
        <v>345</v>
      </c>
      <c r="C134" s="198">
        <f>E79/E42</f>
        <v>0.69529269826882867</v>
      </c>
      <c r="D134" s="149" t="s">
        <v>346</v>
      </c>
    </row>
    <row r="135" spans="2:12" s="47" customFormat="1" x14ac:dyDescent="0.35">
      <c r="B135" s="154"/>
      <c r="C135" s="155"/>
      <c r="H135" s="163"/>
    </row>
    <row r="136" spans="2:12" x14ac:dyDescent="0.35">
      <c r="B136" s="164"/>
      <c r="C136" s="164"/>
      <c r="D136" s="164"/>
      <c r="E136" s="164"/>
      <c r="F136" s="165"/>
      <c r="G136" s="165"/>
      <c r="H136" s="166"/>
      <c r="I136" s="164"/>
      <c r="J136" s="164"/>
      <c r="K136" s="164"/>
      <c r="L136" s="164"/>
    </row>
    <row r="137" spans="2:12" ht="14.5" customHeight="1" x14ac:dyDescent="0.35">
      <c r="B137" s="71"/>
      <c r="C137" s="217" t="s">
        <v>219</v>
      </c>
      <c r="D137" s="218" t="s">
        <v>218</v>
      </c>
      <c r="E137" s="219" t="s">
        <v>347</v>
      </c>
      <c r="F137" s="216" t="s">
        <v>348</v>
      </c>
      <c r="G137" s="225"/>
      <c r="H137" s="225"/>
    </row>
    <row r="138" spans="2:12" x14ac:dyDescent="0.35">
      <c r="B138" s="199" t="s">
        <v>349</v>
      </c>
      <c r="C138" s="186" t="s">
        <v>88</v>
      </c>
      <c r="D138" s="54" t="s">
        <v>350</v>
      </c>
      <c r="E138" s="201">
        <v>1</v>
      </c>
      <c r="F138" s="180">
        <v>450</v>
      </c>
      <c r="G138" s="149" t="s">
        <v>336</v>
      </c>
      <c r="H138" s="226"/>
    </row>
    <row r="139" spans="2:12" x14ac:dyDescent="0.35">
      <c r="B139" s="199" t="s">
        <v>349</v>
      </c>
      <c r="C139" s="186" t="s">
        <v>191</v>
      </c>
      <c r="D139" s="54" t="s">
        <v>350</v>
      </c>
      <c r="E139" s="201">
        <v>2</v>
      </c>
      <c r="F139" s="180">
        <v>100</v>
      </c>
      <c r="G139" s="149" t="s">
        <v>337</v>
      </c>
      <c r="H139" s="226"/>
    </row>
    <row r="140" spans="2:12" x14ac:dyDescent="0.35">
      <c r="B140" s="200" t="s">
        <v>220</v>
      </c>
      <c r="C140" s="186" t="s">
        <v>221</v>
      </c>
      <c r="D140" s="54">
        <v>798.87049999999999</v>
      </c>
      <c r="E140" s="231">
        <v>25</v>
      </c>
      <c r="F140" s="180">
        <v>80</v>
      </c>
      <c r="H140" s="226"/>
    </row>
    <row r="141" spans="2:12" x14ac:dyDescent="0.35">
      <c r="B141" s="200" t="s">
        <v>222</v>
      </c>
      <c r="C141" s="186" t="s">
        <v>194</v>
      </c>
      <c r="D141" s="54">
        <v>878.7115</v>
      </c>
      <c r="E141" s="231">
        <v>16</v>
      </c>
      <c r="F141" s="180">
        <v>42</v>
      </c>
      <c r="G141" s="149" t="s">
        <v>351</v>
      </c>
      <c r="H141" s="226"/>
    </row>
    <row r="142" spans="2:12" x14ac:dyDescent="0.35">
      <c r="B142" s="200" t="s">
        <v>223</v>
      </c>
      <c r="C142" s="186" t="s">
        <v>196</v>
      </c>
      <c r="D142" s="54">
        <v>532.17079999999999</v>
      </c>
      <c r="E142" s="231">
        <v>10</v>
      </c>
      <c r="F142" s="180">
        <v>30</v>
      </c>
      <c r="G142" s="226"/>
      <c r="H142" s="226"/>
    </row>
    <row r="143" spans="2:12" x14ac:dyDescent="0.35">
      <c r="B143" s="200" t="s">
        <v>224</v>
      </c>
      <c r="C143" s="186" t="s">
        <v>221</v>
      </c>
      <c r="D143" s="54">
        <v>1407.7242000000001</v>
      </c>
      <c r="E143" s="231">
        <v>25</v>
      </c>
      <c r="F143" s="180">
        <v>80</v>
      </c>
      <c r="G143" s="226"/>
      <c r="H143" s="226"/>
    </row>
    <row r="144" spans="2:12" x14ac:dyDescent="0.35">
      <c r="B144" s="200" t="s">
        <v>225</v>
      </c>
      <c r="C144" s="186" t="s">
        <v>211</v>
      </c>
      <c r="D144" s="68">
        <v>673.67110000000002</v>
      </c>
      <c r="E144" s="231">
        <v>10</v>
      </c>
      <c r="F144" s="180">
        <v>30</v>
      </c>
      <c r="G144" s="149" t="s">
        <v>339</v>
      </c>
      <c r="H144" s="226"/>
    </row>
    <row r="145" spans="2:14" x14ac:dyDescent="0.35">
      <c r="B145" s="200" t="s">
        <v>226</v>
      </c>
      <c r="C145" s="186" t="s">
        <v>194</v>
      </c>
      <c r="D145" s="68">
        <v>603.81939999999997</v>
      </c>
      <c r="E145" s="231">
        <v>16</v>
      </c>
      <c r="F145" s="180">
        <v>45</v>
      </c>
      <c r="G145" s="226"/>
      <c r="H145" s="226"/>
    </row>
    <row r="147" spans="2:14" ht="15.5" x14ac:dyDescent="0.35">
      <c r="B147" s="6" t="s">
        <v>352</v>
      </c>
      <c r="C147" s="579"/>
      <c r="D147" s="580"/>
      <c r="E147" s="580"/>
      <c r="F147" s="580"/>
      <c r="G147" s="581"/>
      <c r="H147" s="237"/>
      <c r="I147" s="13"/>
    </row>
    <row r="148" spans="2:14" s="220" customFormat="1" ht="15" customHeight="1" x14ac:dyDescent="0.35">
      <c r="C148" s="627" t="s">
        <v>353</v>
      </c>
      <c r="D148" s="628" t="s">
        <v>354</v>
      </c>
      <c r="E148" s="229" t="s">
        <v>355</v>
      </c>
      <c r="F148" s="229" t="s">
        <v>356</v>
      </c>
      <c r="G148" s="615" t="s">
        <v>357</v>
      </c>
      <c r="H148" s="615" t="s">
        <v>358</v>
      </c>
      <c r="I148" s="577" t="s">
        <v>359</v>
      </c>
      <c r="J148" s="577" t="s">
        <v>356</v>
      </c>
      <c r="L148" s="221"/>
      <c r="N148" s="221"/>
    </row>
    <row r="149" spans="2:14" s="220" customFormat="1" ht="20.25" customHeight="1" x14ac:dyDescent="0.35">
      <c r="C149" s="627"/>
      <c r="D149" s="628"/>
      <c r="E149" s="230">
        <v>0.4</v>
      </c>
      <c r="F149" s="230">
        <v>0.2</v>
      </c>
      <c r="G149" s="616"/>
      <c r="H149" s="616"/>
      <c r="I149" s="578"/>
      <c r="J149" s="578"/>
    </row>
    <row r="150" spans="2:14" s="220" customFormat="1" x14ac:dyDescent="0.35">
      <c r="B150" s="200" t="s">
        <v>360</v>
      </c>
      <c r="C150" s="253">
        <f>D150/C131</f>
        <v>0.125</v>
      </c>
      <c r="D150" s="26">
        <f>(C131/80)*10</f>
        <v>2523.0059325000002</v>
      </c>
      <c r="E150" s="227">
        <f>D150*E149</f>
        <v>1009.2023730000001</v>
      </c>
      <c r="F150" s="227">
        <f>D150*F149</f>
        <v>504.60118650000004</v>
      </c>
      <c r="G150" s="252">
        <f>H150/C131</f>
        <v>0.12372017084030379</v>
      </c>
      <c r="H150" s="222">
        <f>I150+J150</f>
        <v>2497.1738</v>
      </c>
      <c r="I150" s="228">
        <f>819.5918+D141</f>
        <v>1698.3033</v>
      </c>
      <c r="J150" s="228">
        <f>D140</f>
        <v>798.87049999999999</v>
      </c>
      <c r="K150" s="345" t="s">
        <v>361</v>
      </c>
      <c r="L150" s="248" t="s">
        <v>362</v>
      </c>
    </row>
    <row r="151" spans="2:14" s="220" customFormat="1" x14ac:dyDescent="0.35">
      <c r="B151" s="200" t="s">
        <v>363</v>
      </c>
      <c r="C151" s="253">
        <f>D151/C130</f>
        <v>0.16547209886376574</v>
      </c>
      <c r="D151" s="26">
        <f>J101*8.5</f>
        <v>2342.0365714285717</v>
      </c>
      <c r="E151" s="227">
        <f>D151*E149</f>
        <v>936.81462857142878</v>
      </c>
      <c r="F151" s="227">
        <f>D151*F149</f>
        <v>468.40731428571439</v>
      </c>
      <c r="G151" s="252">
        <f>H151/C130</f>
        <v>0.17548956314458347</v>
      </c>
      <c r="H151" s="222">
        <f t="shared" ref="H151:H155" si="8">I151+J151</f>
        <v>2483.8203999999996</v>
      </c>
      <c r="I151" s="228">
        <f>79.6562+1011.2819+D142</f>
        <v>1623.1088999999997</v>
      </c>
      <c r="J151" s="228">
        <f>D141-18</f>
        <v>860.7115</v>
      </c>
      <c r="K151" s="345" t="s">
        <v>361</v>
      </c>
      <c r="L151" s="248" t="s">
        <v>364</v>
      </c>
    </row>
    <row r="152" spans="2:14" s="220" customFormat="1" x14ac:dyDescent="0.35">
      <c r="B152" s="200" t="s">
        <v>365</v>
      </c>
      <c r="C152" s="253">
        <f>D152/C129</f>
        <v>0.125</v>
      </c>
      <c r="D152" s="26">
        <f>(C129/80)*10</f>
        <v>677.01492499999995</v>
      </c>
      <c r="E152" s="227">
        <f>D152*E149</f>
        <v>270.80597</v>
      </c>
      <c r="F152" s="227">
        <f>D152*F149</f>
        <v>135.402985</v>
      </c>
      <c r="G152" s="252">
        <f>H152/C129</f>
        <v>0.16918915229232206</v>
      </c>
      <c r="H152" s="222">
        <f t="shared" si="8"/>
        <v>916.34864999999991</v>
      </c>
      <c r="I152" s="228">
        <f>804.3557/2</f>
        <v>402.17784999999998</v>
      </c>
      <c r="J152" s="228">
        <f>D142-18</f>
        <v>514.17079999999999</v>
      </c>
      <c r="K152" s="345" t="s">
        <v>361</v>
      </c>
      <c r="L152" s="248" t="s">
        <v>366</v>
      </c>
    </row>
    <row r="153" spans="2:14" s="220" customFormat="1" x14ac:dyDescent="0.35">
      <c r="B153" s="200" t="s">
        <v>367</v>
      </c>
      <c r="C153" s="253">
        <f>D153/D131</f>
        <v>0.125</v>
      </c>
      <c r="D153" s="26">
        <f>(D131/80)*10</f>
        <v>4441.1287125000008</v>
      </c>
      <c r="E153" s="227">
        <f>D153*E149</f>
        <v>1776.4514850000005</v>
      </c>
      <c r="F153" s="227">
        <f>D153*F149</f>
        <v>888.22574250000025</v>
      </c>
      <c r="G153" s="252">
        <f>H153/D131</f>
        <v>0.12840033315066859</v>
      </c>
      <c r="H153" s="222">
        <f t="shared" si="8"/>
        <v>4561.9392500000004</v>
      </c>
      <c r="I153" s="228">
        <f>982.951+D144+421.744+(804.3557/2)</f>
        <v>2480.5439500000002</v>
      </c>
      <c r="J153" s="228">
        <f>D143+D144</f>
        <v>2081.3953000000001</v>
      </c>
      <c r="K153" s="345" t="s">
        <v>361</v>
      </c>
      <c r="L153" s="248" t="s">
        <v>368</v>
      </c>
    </row>
    <row r="154" spans="2:14" s="220" customFormat="1" x14ac:dyDescent="0.35">
      <c r="B154" s="200" t="s">
        <v>369</v>
      </c>
      <c r="C154" s="253">
        <f>D154/D128</f>
        <v>8.1284250106013117E-2</v>
      </c>
      <c r="D154" s="26">
        <f>(D99/120)*10</f>
        <v>561.39258333333339</v>
      </c>
      <c r="E154" s="227">
        <f>D154*E149</f>
        <v>224.55703333333338</v>
      </c>
      <c r="F154" s="227">
        <f>D154*F149</f>
        <v>112.27851666666669</v>
      </c>
      <c r="G154" s="252">
        <f>H154/D128</f>
        <v>9.2328646149926558E-2</v>
      </c>
      <c r="H154" s="222">
        <f t="shared" si="8"/>
        <v>637.67110000000002</v>
      </c>
      <c r="I154" s="228">
        <v>0</v>
      </c>
      <c r="J154" s="228">
        <f>D144-36</f>
        <v>637.67110000000002</v>
      </c>
      <c r="K154" s="345" t="s">
        <v>361</v>
      </c>
      <c r="L154" s="248" t="s">
        <v>370</v>
      </c>
    </row>
    <row r="155" spans="2:14" s="220" customFormat="1" x14ac:dyDescent="0.35">
      <c r="B155" s="200" t="s">
        <v>371</v>
      </c>
      <c r="C155" s="253">
        <f>D155/D130</f>
        <v>0.14557728350738725</v>
      </c>
      <c r="D155" s="26">
        <f>K101*8.5</f>
        <v>1426.8357833333334</v>
      </c>
      <c r="E155" s="227">
        <f>D155*E149</f>
        <v>570.73431333333338</v>
      </c>
      <c r="F155" s="227">
        <f>E155*F149</f>
        <v>114.14686266666668</v>
      </c>
      <c r="G155" s="252">
        <f>H155/D130</f>
        <v>0.14619273885699291</v>
      </c>
      <c r="H155" s="222">
        <f t="shared" si="8"/>
        <v>1432.8679999999999</v>
      </c>
      <c r="I155" s="228">
        <f>664.6065+200.4421</f>
        <v>865.04859999999996</v>
      </c>
      <c r="J155" s="228">
        <f>D145-36</f>
        <v>567.81939999999997</v>
      </c>
      <c r="K155" s="345" t="s">
        <v>361</v>
      </c>
      <c r="L155" s="248" t="s">
        <v>372</v>
      </c>
    </row>
    <row r="157" spans="2:14" x14ac:dyDescent="0.35">
      <c r="H157" s="6"/>
    </row>
    <row r="158" spans="2:14" x14ac:dyDescent="0.35">
      <c r="H158" s="6"/>
    </row>
    <row r="159" spans="2:14" x14ac:dyDescent="0.35">
      <c r="H159" s="6"/>
    </row>
  </sheetData>
  <sheetProtection sheet="1" objects="1" scenarios="1" selectLockedCells="1" selectUnlockedCells="1"/>
  <mergeCells count="41">
    <mergeCell ref="F123:F124"/>
    <mergeCell ref="G148:G149"/>
    <mergeCell ref="C147:G147"/>
    <mergeCell ref="F29:F30"/>
    <mergeCell ref="C6:E6"/>
    <mergeCell ref="F6:F7"/>
    <mergeCell ref="C29:E29"/>
    <mergeCell ref="G77:I77"/>
    <mergeCell ref="G104:I104"/>
    <mergeCell ref="G103:H103"/>
    <mergeCell ref="G123:I123"/>
    <mergeCell ref="C148:C149"/>
    <mergeCell ref="H148:H149"/>
    <mergeCell ref="D148:D149"/>
    <mergeCell ref="I148:I149"/>
    <mergeCell ref="M107:N107"/>
    <mergeCell ref="K108:L108"/>
    <mergeCell ref="M108:N108"/>
    <mergeCell ref="K107:L107"/>
    <mergeCell ref="J77:L77"/>
    <mergeCell ref="J103:L103"/>
    <mergeCell ref="J98:L98"/>
    <mergeCell ref="J92:L92"/>
    <mergeCell ref="J86:L86"/>
    <mergeCell ref="J79:L79"/>
    <mergeCell ref="J148:J149"/>
    <mergeCell ref="B5:F5"/>
    <mergeCell ref="B6:B7"/>
    <mergeCell ref="B28:F28"/>
    <mergeCell ref="B123:B124"/>
    <mergeCell ref="B57:B58"/>
    <mergeCell ref="C106:D106"/>
    <mergeCell ref="E106:F106"/>
    <mergeCell ref="C103:D103"/>
    <mergeCell ref="C123:E123"/>
    <mergeCell ref="B29:B30"/>
    <mergeCell ref="B77:B78"/>
    <mergeCell ref="F57:F58"/>
    <mergeCell ref="C57:E57"/>
    <mergeCell ref="C77:E77"/>
    <mergeCell ref="F77:F78"/>
  </mergeCells>
  <pageMargins left="0.70866141732283472" right="0.70866141732283472" top="0.74803149606299213" bottom="0.74803149606299213" header="0.31496062992125984" footer="0.31496062992125984"/>
  <pageSetup paperSize="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107DE-6E9A-45CF-BECB-367108DEC3D8}">
  <sheetPr>
    <tabColor rgb="FF203764"/>
    <pageSetUpPr fitToPage="1"/>
  </sheetPr>
  <dimension ref="B1:Q188"/>
  <sheetViews>
    <sheetView zoomScale="70" zoomScaleNormal="70" workbookViewId="0">
      <selection activeCell="J178" sqref="J178"/>
    </sheetView>
  </sheetViews>
  <sheetFormatPr baseColWidth="10" defaultColWidth="9.1796875" defaultRowHeight="14.5" x14ac:dyDescent="0.35"/>
  <cols>
    <col min="1" max="1" width="9.1796875" style="6"/>
    <col min="2" max="2" width="8.36328125" style="6" customWidth="1"/>
    <col min="3" max="3" width="10.7265625" style="6" customWidth="1"/>
    <col min="4" max="4" width="16.7265625" style="6" customWidth="1"/>
    <col min="5" max="5" width="19" style="6" customWidth="1"/>
    <col min="6" max="6" width="18.81640625" style="6" customWidth="1"/>
    <col min="7" max="7" width="22.1796875" style="6" customWidth="1"/>
    <col min="8" max="8" width="23.54296875" style="6" customWidth="1"/>
    <col min="9" max="9" width="22.54296875" style="6" customWidth="1"/>
    <col min="10" max="10" width="23.7265625" style="6" customWidth="1"/>
    <col min="11" max="11" width="14.7265625" style="6" customWidth="1"/>
    <col min="12" max="16384" width="9.1796875" style="6"/>
  </cols>
  <sheetData>
    <row r="1" spans="2:10" x14ac:dyDescent="0.35">
      <c r="B1" s="60" t="s">
        <v>373</v>
      </c>
    </row>
    <row r="2" spans="2:10" x14ac:dyDescent="0.35">
      <c r="B2" s="60" t="s">
        <v>374</v>
      </c>
    </row>
    <row r="3" spans="2:10" x14ac:dyDescent="0.35">
      <c r="B3" s="249"/>
      <c r="C3" s="249"/>
      <c r="D3" s="249"/>
      <c r="E3" s="249"/>
      <c r="F3" s="249"/>
      <c r="G3" s="249"/>
      <c r="H3" s="249"/>
      <c r="I3" s="249"/>
    </row>
    <row r="4" spans="2:10" s="346" customFormat="1" ht="18.5" x14ac:dyDescent="0.45">
      <c r="B4" s="347" t="s">
        <v>375</v>
      </c>
      <c r="C4" s="347"/>
      <c r="D4" s="347"/>
      <c r="E4" s="347"/>
      <c r="F4" s="347"/>
      <c r="G4" s="347"/>
      <c r="H4" s="347"/>
      <c r="I4" s="347"/>
    </row>
    <row r="5" spans="2:10" ht="15.5" x14ac:dyDescent="0.35">
      <c r="B5" s="275"/>
      <c r="C5" s="275"/>
      <c r="D5" s="275"/>
      <c r="E5" s="275"/>
      <c r="F5" s="275"/>
      <c r="G5" s="275"/>
      <c r="H5" s="275"/>
      <c r="I5" s="275"/>
    </row>
    <row r="6" spans="2:10" ht="15.5" x14ac:dyDescent="0.35">
      <c r="B6" s="348" t="s">
        <v>376</v>
      </c>
      <c r="C6" s="349"/>
      <c r="D6" s="349"/>
      <c r="E6" s="349"/>
      <c r="F6" s="349"/>
      <c r="G6" s="349"/>
      <c r="H6" s="349"/>
      <c r="I6" s="349"/>
    </row>
    <row r="7" spans="2:10" ht="15.5" x14ac:dyDescent="0.35">
      <c r="B7" s="276"/>
      <c r="C7" s="276"/>
      <c r="D7" s="276"/>
      <c r="E7" s="276"/>
      <c r="F7" s="276"/>
      <c r="G7" s="276"/>
      <c r="H7" s="276"/>
      <c r="I7" s="276"/>
      <c r="J7" s="47"/>
    </row>
    <row r="8" spans="2:10" ht="26" x14ac:dyDescent="0.35">
      <c r="B8" s="80" t="s">
        <v>73</v>
      </c>
      <c r="C8" s="81" t="s">
        <v>74</v>
      </c>
      <c r="D8" s="82" t="s">
        <v>151</v>
      </c>
      <c r="E8" s="83" t="s">
        <v>377</v>
      </c>
      <c r="F8" s="85" t="s">
        <v>378</v>
      </c>
      <c r="G8" s="83" t="s">
        <v>379</v>
      </c>
      <c r="H8" s="85" t="s">
        <v>380</v>
      </c>
      <c r="I8" s="417" t="s">
        <v>381</v>
      </c>
      <c r="J8" s="47"/>
    </row>
    <row r="9" spans="2:10" x14ac:dyDescent="0.35">
      <c r="B9" s="542" t="s">
        <v>83</v>
      </c>
      <c r="C9" s="16">
        <v>1</v>
      </c>
      <c r="D9" s="21">
        <f>'Configuración predial actual'!F6</f>
        <v>400.9735</v>
      </c>
      <c r="E9" s="232">
        <f>D9/D32</f>
        <v>1.6966507947823721E-2</v>
      </c>
      <c r="F9" s="25">
        <f>'Configuración predial actual'!L6</f>
        <v>1360562400</v>
      </c>
      <c r="G9" s="232">
        <f>F9/F32</f>
        <v>1.7364266176731192E-2</v>
      </c>
      <c r="H9" s="429">
        <f t="shared" ref="H9:H19" si="0">F9/D9</f>
        <v>3393147.9262345266</v>
      </c>
      <c r="I9" s="430" t="s">
        <v>382</v>
      </c>
      <c r="J9" s="47"/>
    </row>
    <row r="10" spans="2:10" x14ac:dyDescent="0.35">
      <c r="B10" s="542"/>
      <c r="C10" s="17">
        <v>2</v>
      </c>
      <c r="D10" s="21">
        <f>'Configuración predial actual'!F7</f>
        <v>947.8931</v>
      </c>
      <c r="E10" s="232">
        <f>D10/D32</f>
        <v>4.0108475534760435E-2</v>
      </c>
      <c r="F10" s="25">
        <f>'Configuración predial actual'!L7</f>
        <v>2880542400</v>
      </c>
      <c r="G10" s="232">
        <f>F10/F32</f>
        <v>3.6763109848515656E-2</v>
      </c>
      <c r="H10" s="429">
        <f t="shared" si="0"/>
        <v>3038889.5119080413</v>
      </c>
      <c r="I10" s="430" t="s">
        <v>382</v>
      </c>
      <c r="J10" s="47"/>
    </row>
    <row r="11" spans="2:10" x14ac:dyDescent="0.35">
      <c r="B11" s="542"/>
      <c r="C11" s="17">
        <v>3</v>
      </c>
      <c r="D11" s="21">
        <f>'Configuración predial actual'!F8</f>
        <v>1635.3623</v>
      </c>
      <c r="E11" s="232">
        <f>D11/D32</f>
        <v>6.919755909186337E-2</v>
      </c>
      <c r="F11" s="25">
        <f>'Configuración predial actual'!L8</f>
        <v>6326803200</v>
      </c>
      <c r="G11" s="232">
        <f>F11/F32</f>
        <v>8.0746237594537876E-2</v>
      </c>
      <c r="H11" s="429">
        <f t="shared" si="0"/>
        <v>3868747.127165644</v>
      </c>
      <c r="I11" s="430" t="s">
        <v>383</v>
      </c>
      <c r="J11" s="47"/>
    </row>
    <row r="12" spans="2:10" x14ac:dyDescent="0.35">
      <c r="B12" s="542"/>
      <c r="C12" s="17">
        <v>4</v>
      </c>
      <c r="D12" s="21">
        <f>'Configuración predial actual'!F9</f>
        <v>38.484900000000003</v>
      </c>
      <c r="E12" s="232">
        <f>D12/D32</f>
        <v>1.6284227304826906E-3</v>
      </c>
      <c r="F12" s="25">
        <f>'Configuración predial actual'!L9</f>
        <v>116403600</v>
      </c>
      <c r="G12" s="232">
        <f>F12/F32</f>
        <v>1.4856085206600941E-3</v>
      </c>
      <c r="H12" s="429">
        <f t="shared" si="0"/>
        <v>3024656.4236882515</v>
      </c>
      <c r="I12" s="430" t="s">
        <v>384</v>
      </c>
      <c r="J12" s="408"/>
    </row>
    <row r="13" spans="2:10" x14ac:dyDescent="0.35">
      <c r="B13" s="542"/>
      <c r="C13" s="17">
        <v>5</v>
      </c>
      <c r="D13" s="21">
        <f>'Configuración predial actual'!F10</f>
        <v>1072.6186</v>
      </c>
      <c r="E13" s="232">
        <f>D13/D32</f>
        <v>4.5386021774215884E-2</v>
      </c>
      <c r="F13" s="25">
        <f>'Configuración predial actual'!L10</f>
        <v>3504182400</v>
      </c>
      <c r="G13" s="232">
        <f>F13/F32</f>
        <v>4.4722355935616576E-2</v>
      </c>
      <c r="H13" s="429">
        <f t="shared" si="0"/>
        <v>3266941.6696671117</v>
      </c>
      <c r="I13" s="430" t="s">
        <v>385</v>
      </c>
      <c r="J13" s="408"/>
    </row>
    <row r="14" spans="2:10" x14ac:dyDescent="0.35">
      <c r="B14" s="542"/>
      <c r="C14" s="17">
        <v>6</v>
      </c>
      <c r="D14" s="21">
        <f>'Configuración predial actual'!F11</f>
        <v>429.10849999999999</v>
      </c>
      <c r="E14" s="232">
        <f>D14/D32</f>
        <v>1.8156992359167661E-2</v>
      </c>
      <c r="F14" s="25">
        <f>'Configuración predial actual'!L11</f>
        <v>1263366000</v>
      </c>
      <c r="G14" s="232">
        <f>F14/F32</f>
        <v>1.6123790796094453E-2</v>
      </c>
      <c r="H14" s="429">
        <f t="shared" si="0"/>
        <v>2944164.4712234787</v>
      </c>
      <c r="I14" s="430" t="s">
        <v>382</v>
      </c>
      <c r="J14" s="408"/>
    </row>
    <row r="15" spans="2:10" x14ac:dyDescent="0.35">
      <c r="B15" s="542"/>
      <c r="C15" s="17">
        <v>7</v>
      </c>
      <c r="D15" s="21">
        <f>'Configuración predial actual'!F12</f>
        <v>1218.5317</v>
      </c>
      <c r="E15" s="232">
        <f>D15/D32</f>
        <v>5.1560085074762167E-2</v>
      </c>
      <c r="F15" s="25">
        <f>'Configuración predial actual'!L12</f>
        <v>4320502800</v>
      </c>
      <c r="G15" s="232">
        <f>F15/F32</f>
        <v>5.5140698167546312E-2</v>
      </c>
      <c r="H15" s="429">
        <f t="shared" si="0"/>
        <v>3545663.0303503801</v>
      </c>
      <c r="I15" s="430" t="s">
        <v>385</v>
      </c>
      <c r="J15" s="408"/>
    </row>
    <row r="16" spans="2:10" x14ac:dyDescent="0.35">
      <c r="B16" s="542"/>
      <c r="C16" s="17">
        <v>8</v>
      </c>
      <c r="D16" s="21">
        <f>'Configuración predial actual'!F13</f>
        <v>3739.3198000000002</v>
      </c>
      <c r="E16" s="232">
        <f>D16/D32</f>
        <v>0.15822292272719921</v>
      </c>
      <c r="F16" s="25">
        <f>'Configuración predial actual'!L13</f>
        <v>13126388400</v>
      </c>
      <c r="G16" s="232">
        <f>F16/F32</f>
        <v>0.16752638623319052</v>
      </c>
      <c r="H16" s="429">
        <f t="shared" si="0"/>
        <v>3510367.9551559081</v>
      </c>
      <c r="I16" s="430" t="s">
        <v>383</v>
      </c>
      <c r="J16" s="408"/>
    </row>
    <row r="17" spans="2:10" x14ac:dyDescent="0.35">
      <c r="B17" s="542"/>
      <c r="C17" s="17">
        <v>9</v>
      </c>
      <c r="D17" s="21">
        <f>'Configuración predial actual'!F14</f>
        <v>599.10580000000004</v>
      </c>
      <c r="E17" s="232">
        <f>D17/D32</f>
        <v>2.5350137396329905E-2</v>
      </c>
      <c r="F17" s="25">
        <f>'Configuración predial actual'!L14</f>
        <v>2799586800</v>
      </c>
      <c r="G17" s="232">
        <f>F17/F32</f>
        <v>3.5729908734846057E-2</v>
      </c>
      <c r="H17" s="429">
        <f t="shared" si="0"/>
        <v>4672942.241587379</v>
      </c>
      <c r="I17" s="430" t="s">
        <v>382</v>
      </c>
      <c r="J17" s="408"/>
    </row>
    <row r="18" spans="2:10" x14ac:dyDescent="0.35">
      <c r="B18" s="542"/>
      <c r="C18" s="17">
        <v>10</v>
      </c>
      <c r="D18" s="21">
        <f>'Configuración predial actual'!F15</f>
        <v>690.91949999999997</v>
      </c>
      <c r="E18" s="232">
        <f>D18/D32</f>
        <v>2.9235077101245819E-2</v>
      </c>
      <c r="F18" s="25">
        <f>'Configuración predial actual'!L15</f>
        <v>2449570800</v>
      </c>
      <c r="G18" s="232">
        <f>F18/F32</f>
        <v>3.1262806755462572E-2</v>
      </c>
      <c r="H18" s="429">
        <f t="shared" si="0"/>
        <v>3545378.0071339714</v>
      </c>
      <c r="I18" s="430" t="s">
        <v>382</v>
      </c>
      <c r="J18" s="47"/>
    </row>
    <row r="19" spans="2:10" x14ac:dyDescent="0.35">
      <c r="B19" s="542"/>
      <c r="C19" s="20">
        <v>11</v>
      </c>
      <c r="D19" s="21">
        <f>'Configuración predial actual'!F16</f>
        <v>685.67660000000001</v>
      </c>
      <c r="E19" s="233">
        <f>D19/D32</f>
        <v>2.9013232753627723E-2</v>
      </c>
      <c r="F19" s="25">
        <f>'Configuración predial actual'!L16</f>
        <v>2788464000</v>
      </c>
      <c r="G19" s="232">
        <f>F19/F32</f>
        <v>3.5587953275963355E-2</v>
      </c>
      <c r="H19" s="429">
        <f t="shared" si="0"/>
        <v>4066733.50089532</v>
      </c>
      <c r="I19" s="430" t="s">
        <v>382</v>
      </c>
      <c r="J19" s="47"/>
    </row>
    <row r="20" spans="2:10" x14ac:dyDescent="0.35">
      <c r="B20" s="570" t="s">
        <v>247</v>
      </c>
      <c r="C20" s="570"/>
      <c r="D20" s="95">
        <f>'Configuración predial actual'!F17</f>
        <v>11457.994300000002</v>
      </c>
      <c r="E20" s="350">
        <f>D20/D32</f>
        <v>0.48482543449147864</v>
      </c>
      <c r="F20" s="97">
        <f>SUM(F9:F19)</f>
        <v>40936372800</v>
      </c>
      <c r="G20" s="350">
        <f>F20/F32</f>
        <v>0.52245312203916472</v>
      </c>
      <c r="H20" s="97"/>
      <c r="I20" s="97"/>
      <c r="J20" s="47"/>
    </row>
    <row r="21" spans="2:10" x14ac:dyDescent="0.35">
      <c r="B21" s="572" t="s">
        <v>118</v>
      </c>
      <c r="C21" s="36">
        <v>1</v>
      </c>
      <c r="D21" s="21">
        <f>'Configuración predial actual'!F18</f>
        <v>932.69140000000004</v>
      </c>
      <c r="E21" s="232">
        <f>D21/D32</f>
        <v>3.9465241595683591E-2</v>
      </c>
      <c r="F21" s="38">
        <f>'Configuración predial actual'!L18</f>
        <v>3559245600</v>
      </c>
      <c r="G21" s="232">
        <f>F21/F32</f>
        <v>4.5425103609183469E-2</v>
      </c>
      <c r="H21" s="429">
        <f t="shared" ref="H21:H30" si="1">F21/D21</f>
        <v>3816102.0890725483</v>
      </c>
      <c r="I21" s="430" t="s">
        <v>383</v>
      </c>
    </row>
    <row r="22" spans="2:10" x14ac:dyDescent="0.35">
      <c r="B22" s="572"/>
      <c r="C22" s="17">
        <v>2</v>
      </c>
      <c r="D22" s="69">
        <f>'Configuración predial actual'!F19</f>
        <v>673.1046</v>
      </c>
      <c r="E22" s="232">
        <f>D22/D32</f>
        <v>2.8481270073001597E-2</v>
      </c>
      <c r="F22" s="29">
        <f>'Configuración predial actual'!L19</f>
        <v>2189239200</v>
      </c>
      <c r="G22" s="232">
        <f>F22/F32</f>
        <v>2.7940307767827521E-2</v>
      </c>
      <c r="H22" s="429">
        <f t="shared" si="1"/>
        <v>3252450.213532934</v>
      </c>
      <c r="I22" s="430" t="s">
        <v>385</v>
      </c>
    </row>
    <row r="23" spans="2:10" x14ac:dyDescent="0.35">
      <c r="B23" s="572"/>
      <c r="C23" s="17">
        <v>3</v>
      </c>
      <c r="D23" s="69">
        <f>'Configuración predial actual'!F20</f>
        <v>408.16300000000001</v>
      </c>
      <c r="E23" s="232">
        <f>D23/D32</f>
        <v>1.7270719345561673E-2</v>
      </c>
      <c r="F23" s="29">
        <f>'Configuración predial actual'!L20</f>
        <v>1357304400</v>
      </c>
      <c r="G23" s="232">
        <f>F23/F32</f>
        <v>1.7322685739697367E-2</v>
      </c>
      <c r="H23" s="429">
        <f t="shared" si="1"/>
        <v>3325397.941508662</v>
      </c>
      <c r="I23" s="430" t="s">
        <v>384</v>
      </c>
    </row>
    <row r="24" spans="2:10" x14ac:dyDescent="0.35">
      <c r="B24" s="572"/>
      <c r="C24" s="17">
        <v>4</v>
      </c>
      <c r="D24" s="69">
        <f>'Configuración predial actual'!F21</f>
        <v>977.75360000000001</v>
      </c>
      <c r="E24" s="232">
        <f>D24/D32</f>
        <v>4.1371971527827289E-2</v>
      </c>
      <c r="F24" s="29">
        <f>'Configuración predial actual'!L21</f>
        <v>2915230800</v>
      </c>
      <c r="G24" s="232">
        <f>F24/F32</f>
        <v>3.7205822811070641E-2</v>
      </c>
      <c r="H24" s="429">
        <f t="shared" si="1"/>
        <v>2981559.7712961631</v>
      </c>
      <c r="I24" s="430" t="s">
        <v>385</v>
      </c>
    </row>
    <row r="25" spans="2:10" x14ac:dyDescent="0.35">
      <c r="B25" s="572"/>
      <c r="C25" s="17">
        <v>5</v>
      </c>
      <c r="D25" s="69">
        <f>'Configuración predial actual'!F22</f>
        <v>5630.3640999999998</v>
      </c>
      <c r="E25" s="232">
        <f>D25/D32</f>
        <v>0.23823922840734199</v>
      </c>
      <c r="F25" s="29">
        <f>'Configuración predial actual'!L22</f>
        <v>16166368800</v>
      </c>
      <c r="G25" s="232">
        <f>F25/F32</f>
        <v>0.20632433393308711</v>
      </c>
      <c r="H25" s="429">
        <f t="shared" si="1"/>
        <v>2871283.0134733208</v>
      </c>
      <c r="I25" s="430" t="s">
        <v>384</v>
      </c>
    </row>
    <row r="26" spans="2:10" x14ac:dyDescent="0.35">
      <c r="B26" s="572"/>
      <c r="C26" s="17">
        <v>6</v>
      </c>
      <c r="D26" s="69">
        <f>'Configuración predial actual'!F23</f>
        <v>988.08910000000003</v>
      </c>
      <c r="E26" s="232">
        <f>D26/D32</f>
        <v>4.1809300535591475E-2</v>
      </c>
      <c r="F26" s="29">
        <f>'Configuración predial actual'!L23</f>
        <v>3329748000</v>
      </c>
      <c r="G26" s="232">
        <f>F26/F32</f>
        <v>4.2496125553255285E-2</v>
      </c>
      <c r="H26" s="429">
        <f t="shared" si="1"/>
        <v>3369886.3796797274</v>
      </c>
      <c r="I26" s="430" t="s">
        <v>383</v>
      </c>
    </row>
    <row r="27" spans="2:10" x14ac:dyDescent="0.35">
      <c r="B27" s="572"/>
      <c r="C27" s="17">
        <v>7</v>
      </c>
      <c r="D27" s="69">
        <f>'Configuración predial actual'!F24</f>
        <v>782.55899999999997</v>
      </c>
      <c r="E27" s="232">
        <f>D27/D32</f>
        <v>3.3112645831061112E-2</v>
      </c>
      <c r="F27" s="29">
        <f>'Configuración predial actual'!L24</f>
        <v>2407172400</v>
      </c>
      <c r="G27" s="232">
        <f>F27/F32</f>
        <v>3.0721694416133247E-2</v>
      </c>
      <c r="H27" s="429">
        <f t="shared" si="1"/>
        <v>3076026.727697209</v>
      </c>
      <c r="I27" s="430" t="s">
        <v>385</v>
      </c>
    </row>
    <row r="28" spans="2:10" x14ac:dyDescent="0.35">
      <c r="B28" s="572"/>
      <c r="C28" s="17">
        <v>8</v>
      </c>
      <c r="D28" s="69">
        <f>'Configuración predial actual'!F25</f>
        <v>280.89580000000001</v>
      </c>
      <c r="E28" s="232">
        <f>D28/D32</f>
        <v>1.1885625417166727E-2</v>
      </c>
      <c r="F28" s="29">
        <f>'Configuración predial actual'!L25</f>
        <v>668812800</v>
      </c>
      <c r="G28" s="232">
        <f>F28/F32</f>
        <v>8.5357668869909115E-3</v>
      </c>
      <c r="H28" s="429">
        <f t="shared" si="1"/>
        <v>2380999.6447081086</v>
      </c>
      <c r="I28" s="430" t="s">
        <v>383</v>
      </c>
    </row>
    <row r="29" spans="2:10" x14ac:dyDescent="0.35">
      <c r="B29" s="572"/>
      <c r="C29" s="17">
        <v>9</v>
      </c>
      <c r="D29" s="69">
        <f>'Configuración predial actual'!F26</f>
        <v>888.07950000000005</v>
      </c>
      <c r="E29" s="232">
        <f>D29/D32</f>
        <v>3.7577565337981976E-2</v>
      </c>
      <c r="F29" s="29">
        <f>'Configuración predial actual'!L26</f>
        <v>2646436800</v>
      </c>
      <c r="G29" s="232">
        <f>F29/F32</f>
        <v>3.3775321892694325E-2</v>
      </c>
      <c r="H29" s="429">
        <f t="shared" si="1"/>
        <v>2979954.8351245578</v>
      </c>
      <c r="I29" s="430" t="s">
        <v>383</v>
      </c>
    </row>
    <row r="30" spans="2:10" x14ac:dyDescent="0.35">
      <c r="B30" s="572"/>
      <c r="C30" s="20">
        <v>10</v>
      </c>
      <c r="D30" s="69">
        <f>'Configuración predial actual'!F27</f>
        <v>613.54240000000004</v>
      </c>
      <c r="E30" s="232">
        <f>D30/D32</f>
        <v>2.5960997437304064E-2</v>
      </c>
      <c r="F30" s="29">
        <f>'Configuración predial actual'!L27</f>
        <v>2178223200</v>
      </c>
      <c r="G30" s="232">
        <f>F30/F32</f>
        <v>2.7799715350895472E-2</v>
      </c>
      <c r="H30" s="429">
        <f t="shared" si="1"/>
        <v>3550240.7005611998</v>
      </c>
      <c r="I30" s="430" t="s">
        <v>383</v>
      </c>
    </row>
    <row r="31" spans="2:10" x14ac:dyDescent="0.35">
      <c r="B31" s="635" t="s">
        <v>248</v>
      </c>
      <c r="C31" s="635"/>
      <c r="D31" s="90">
        <f>'Configuración predial actual'!F28</f>
        <v>12175.242499999998</v>
      </c>
      <c r="E31" s="350">
        <f>D31/D32</f>
        <v>0.51517456550852136</v>
      </c>
      <c r="F31" s="94">
        <f>SUM(F21:F30)</f>
        <v>37417782000</v>
      </c>
      <c r="G31" s="350">
        <f>F31/F32</f>
        <v>0.47754687796083534</v>
      </c>
      <c r="H31" s="94"/>
      <c r="I31" s="94"/>
      <c r="J31" s="149" t="s">
        <v>386</v>
      </c>
    </row>
    <row r="32" spans="2:10" ht="14.5" customHeight="1" x14ac:dyDescent="0.35">
      <c r="B32" s="575" t="s">
        <v>159</v>
      </c>
      <c r="C32" s="575"/>
      <c r="D32" s="211">
        <f>'Configuración predial actual'!F29</f>
        <v>23633.236799999999</v>
      </c>
      <c r="E32" s="351">
        <v>1</v>
      </c>
      <c r="F32" s="213">
        <f>F20+F31</f>
        <v>78354154800</v>
      </c>
      <c r="G32" s="352">
        <v>1</v>
      </c>
      <c r="H32" s="213">
        <f>AVERAGE(H9:H19,H21:H30)</f>
        <v>3356263.4848411642</v>
      </c>
      <c r="I32" s="213"/>
      <c r="J32" s="365">
        <f>F32/H125</f>
        <v>0.15171560138852525</v>
      </c>
    </row>
    <row r="34" spans="2:10" x14ac:dyDescent="0.35">
      <c r="B34" s="6" t="s">
        <v>387</v>
      </c>
    </row>
    <row r="35" spans="2:10" x14ac:dyDescent="0.35">
      <c r="G35" s="292" t="s">
        <v>168</v>
      </c>
      <c r="H35" s="292" t="s">
        <v>169</v>
      </c>
      <c r="I35" s="292" t="s">
        <v>170</v>
      </c>
    </row>
    <row r="36" spans="2:10" ht="15" customHeight="1" x14ac:dyDescent="0.35">
      <c r="B36" s="636" t="s">
        <v>388</v>
      </c>
      <c r="C36" s="636"/>
      <c r="D36" s="637" t="s">
        <v>389</v>
      </c>
      <c r="E36" s="637"/>
      <c r="F36" s="637"/>
      <c r="G36" s="274">
        <f>'Politica Moradores'!P38</f>
        <v>116403600</v>
      </c>
      <c r="H36" s="274">
        <f>'Politica Moradores'!P39+'Politica Moradores'!P40</f>
        <v>17523673200</v>
      </c>
      <c r="I36" s="424">
        <f>'Politica Moradores'!P41</f>
        <v>17640076800</v>
      </c>
      <c r="J36" s="149" t="s">
        <v>390</v>
      </c>
    </row>
    <row r="37" spans="2:10" x14ac:dyDescent="0.35">
      <c r="B37" s="636"/>
      <c r="C37" s="636"/>
      <c r="D37" s="637" t="s">
        <v>391</v>
      </c>
      <c r="E37" s="637"/>
      <c r="F37" s="637"/>
      <c r="G37" s="420">
        <f>E103*E119</f>
        <v>21498728400</v>
      </c>
      <c r="H37" s="420">
        <f>F103*E119</f>
        <v>14813192800</v>
      </c>
      <c r="I37" s="421">
        <f>H103</f>
        <v>36311921200</v>
      </c>
      <c r="J37" s="149" t="s">
        <v>392</v>
      </c>
    </row>
    <row r="38" spans="2:10" x14ac:dyDescent="0.35">
      <c r="B38" s="636"/>
      <c r="C38" s="636"/>
      <c r="D38" s="637" t="s">
        <v>393</v>
      </c>
      <c r="E38" s="637"/>
      <c r="F38" s="637"/>
      <c r="G38" s="420">
        <f>E104*E120</f>
        <v>27201722850.000004</v>
      </c>
      <c r="H38" s="420">
        <f>F104*E120</f>
        <v>10950377400</v>
      </c>
      <c r="I38" s="421">
        <f>H104</f>
        <v>38152100250</v>
      </c>
      <c r="J38" s="149" t="s">
        <v>392</v>
      </c>
    </row>
    <row r="39" spans="2:10" ht="15" customHeight="1" x14ac:dyDescent="0.35">
      <c r="B39" s="630" t="s">
        <v>394</v>
      </c>
      <c r="C39" s="630"/>
      <c r="D39" s="630"/>
      <c r="E39" s="630"/>
      <c r="F39" s="630"/>
      <c r="G39" s="394">
        <f>SUM(G36:G38)</f>
        <v>48816854850</v>
      </c>
      <c r="H39" s="394">
        <f>SUM(H36:H38)</f>
        <v>43287243400</v>
      </c>
      <c r="I39" s="398">
        <f>SUM(I36:I38)</f>
        <v>92104098250</v>
      </c>
      <c r="J39" s="365">
        <f>I39/H125</f>
        <v>0.17833934514403779</v>
      </c>
    </row>
    <row r="41" spans="2:10" ht="15.5" x14ac:dyDescent="0.35">
      <c r="B41" s="348" t="s">
        <v>395</v>
      </c>
      <c r="C41" s="349"/>
      <c r="D41" s="349"/>
      <c r="E41" s="349"/>
      <c r="F41" s="349"/>
      <c r="G41" s="349"/>
      <c r="H41" s="349"/>
      <c r="I41" s="349"/>
    </row>
    <row r="43" spans="2:10" x14ac:dyDescent="0.35">
      <c r="B43" s="74"/>
      <c r="C43" s="74"/>
      <c r="D43" s="74"/>
      <c r="E43" s="74"/>
      <c r="F43" s="355" t="s">
        <v>396</v>
      </c>
      <c r="G43" s="355" t="s">
        <v>397</v>
      </c>
    </row>
    <row r="44" spans="2:10" x14ac:dyDescent="0.35">
      <c r="B44" s="631" t="str">
        <f>'Cuadro Áreas'!B32</f>
        <v>Área Bruta de la urbanización</v>
      </c>
      <c r="C44" s="631"/>
      <c r="D44" s="631"/>
      <c r="E44" s="631"/>
      <c r="F44" s="235">
        <f>'Cuadro Áreas'!E32</f>
        <v>31802.980200000002</v>
      </c>
      <c r="G44" s="353">
        <f>'Cuadro Áreas'!F31</f>
        <v>1</v>
      </c>
    </row>
    <row r="45" spans="2:10" x14ac:dyDescent="0.35">
      <c r="B45" s="632" t="str">
        <f>'Cuadro Áreas'!B33</f>
        <v>Afectaciones</v>
      </c>
      <c r="C45" s="632"/>
      <c r="D45" s="632"/>
      <c r="E45" s="632"/>
      <c r="F45" s="73">
        <f>'Cuadro Áreas'!E33</f>
        <v>0</v>
      </c>
      <c r="G45" s="418">
        <f>'Cuadro Áreas'!F33</f>
        <v>0</v>
      </c>
    </row>
    <row r="46" spans="2:10" x14ac:dyDescent="0.35">
      <c r="B46" s="632" t="str">
        <f>'Cuadro Áreas'!B34</f>
        <v>Área de manejo diferenciado</v>
      </c>
      <c r="C46" s="632"/>
      <c r="D46" s="632"/>
      <c r="E46" s="632"/>
      <c r="F46" s="73">
        <f>'Cuadro Áreas'!E34</f>
        <v>7825.538700000001</v>
      </c>
      <c r="G46" s="418">
        <f>'Cuadro Áreas'!F34</f>
        <v>0.2460630623541375</v>
      </c>
      <c r="H46" s="149" t="s">
        <v>290</v>
      </c>
    </row>
    <row r="47" spans="2:10" x14ac:dyDescent="0.35">
      <c r="B47" s="633" t="s">
        <v>398</v>
      </c>
      <c r="C47" s="633"/>
      <c r="D47" s="633"/>
      <c r="E47" s="633"/>
      <c r="F47" s="63">
        <f>'Cuadro Áreas'!E35</f>
        <v>23977.441500000001</v>
      </c>
      <c r="G47" s="53">
        <f>'Cuadro Áreas'!F35</f>
        <v>0.75393693764586245</v>
      </c>
    </row>
    <row r="48" spans="2:10" x14ac:dyDescent="0.35">
      <c r="B48" s="409" t="str">
        <f>'Cuadro Áreas'!B61</f>
        <v>Cesión espacio público efectivo - adicional - reubicar</v>
      </c>
      <c r="C48" s="409"/>
      <c r="D48" s="409"/>
      <c r="E48" s="356"/>
      <c r="F48" s="238">
        <f>'Cuadro Áreas'!E61</f>
        <v>11643.740099999999</v>
      </c>
      <c r="G48" s="46">
        <f>'Cuadro Áreas'!F61</f>
        <v>0.48561228269496554</v>
      </c>
      <c r="H48" s="67"/>
    </row>
    <row r="49" spans="2:11" x14ac:dyDescent="0.35">
      <c r="B49" s="634" t="str">
        <f>'Cuadro Áreas'!B38</f>
        <v>Equipamiento - BIC (área ocupada)</v>
      </c>
      <c r="C49" s="634"/>
      <c r="D49" s="634"/>
      <c r="E49" s="634"/>
      <c r="F49" s="238">
        <f>'Cuadro Áreas'!E38</f>
        <v>1218.5317</v>
      </c>
      <c r="G49" s="46">
        <f>'Cuadro Áreas'!F38</f>
        <v>5.081992171683538E-2</v>
      </c>
      <c r="H49" s="67"/>
    </row>
    <row r="50" spans="2:11" x14ac:dyDescent="0.35">
      <c r="B50" s="409" t="str">
        <f>'Cuadro Áreas'!B39</f>
        <v>Equipamiento Servicios del cuidado (área ocupada)</v>
      </c>
      <c r="C50" s="409"/>
      <c r="D50" s="409"/>
      <c r="E50" s="356"/>
      <c r="F50" s="238">
        <f>'Cuadro Áreas'!E39</f>
        <v>1235.8646000000001</v>
      </c>
      <c r="G50" s="46">
        <f>'Cuadro Áreas'!F39</f>
        <v>5.1542805348936002E-2</v>
      </c>
      <c r="H50" s="67"/>
    </row>
    <row r="51" spans="2:11" x14ac:dyDescent="0.35">
      <c r="B51" s="629" t="s">
        <v>299</v>
      </c>
      <c r="C51" s="629"/>
      <c r="D51" s="629"/>
      <c r="E51" s="629"/>
      <c r="F51" s="70">
        <f>'Cuadro Áreas'!E41</f>
        <v>14098.136400000001</v>
      </c>
      <c r="G51" s="354">
        <f>'Cuadro Áreas'!F41</f>
        <v>0.58797500976073702</v>
      </c>
      <c r="H51" s="67"/>
    </row>
    <row r="52" spans="2:11" x14ac:dyDescent="0.35">
      <c r="B52" s="631" t="s">
        <v>217</v>
      </c>
      <c r="C52" s="631"/>
      <c r="D52" s="631"/>
      <c r="E52" s="631"/>
      <c r="F52" s="235">
        <f>'Cuadro Áreas'!E42</f>
        <v>9879.3050999999996</v>
      </c>
      <c r="G52" s="353">
        <f>'Cuadro Áreas'!F42</f>
        <v>0.41202499023926298</v>
      </c>
      <c r="H52" s="67"/>
    </row>
    <row r="54" spans="2:11" s="11" customFormat="1" ht="33" customHeight="1" x14ac:dyDescent="0.35">
      <c r="B54" s="638" t="s">
        <v>478</v>
      </c>
      <c r="C54" s="638"/>
      <c r="D54" s="419" t="s">
        <v>399</v>
      </c>
      <c r="E54" s="419" t="s">
        <v>400</v>
      </c>
      <c r="F54" s="419" t="s">
        <v>401</v>
      </c>
      <c r="G54" s="419" t="s">
        <v>402</v>
      </c>
      <c r="H54" s="419" t="s">
        <v>403</v>
      </c>
      <c r="I54" s="419" t="s">
        <v>404</v>
      </c>
      <c r="J54" s="419" t="s">
        <v>405</v>
      </c>
      <c r="K54" s="419" t="s">
        <v>406</v>
      </c>
    </row>
    <row r="55" spans="2:11" x14ac:dyDescent="0.35">
      <c r="B55" s="639" t="s">
        <v>168</v>
      </c>
      <c r="C55" s="639"/>
      <c r="D55" s="65">
        <f>E55/E57</f>
        <v>0.49845070580925777</v>
      </c>
      <c r="E55" s="238">
        <f>'Cuadro Áreas'!C42</f>
        <v>4924.3465999999999</v>
      </c>
      <c r="F55" s="238">
        <f>'Cuadro Áreas'!C35</f>
        <v>11802.198899999999</v>
      </c>
      <c r="G55" s="238">
        <f>E78</f>
        <v>51279.502100000005</v>
      </c>
      <c r="H55" s="238">
        <f>+G55/F55</f>
        <v>4.34491085385792</v>
      </c>
      <c r="I55" s="278">
        <f>+J55/E55</f>
        <v>0.71098782932947902</v>
      </c>
      <c r="J55" s="238">
        <f>'Cuadro Áreas'!C79</f>
        <v>3501.1505000000002</v>
      </c>
      <c r="K55" s="238">
        <f>+G55/J55</f>
        <v>14.646471809766533</v>
      </c>
    </row>
    <row r="56" spans="2:11" x14ac:dyDescent="0.35">
      <c r="B56" s="639" t="s">
        <v>169</v>
      </c>
      <c r="C56" s="639"/>
      <c r="D56" s="65">
        <f>E56/E57</f>
        <v>0.50154929419074223</v>
      </c>
      <c r="E56" s="238">
        <f>'Cuadro Áreas'!D42</f>
        <v>4954.9584999999997</v>
      </c>
      <c r="F56" s="238">
        <f>'Cuadro Áreas'!D35</f>
        <v>12175.2426</v>
      </c>
      <c r="G56" s="238">
        <f>F78</f>
        <v>63281.601300000009</v>
      </c>
      <c r="H56" s="238">
        <f>+G56/F56</f>
        <v>5.1975638908418968</v>
      </c>
      <c r="I56" s="278">
        <f>+J56/E56</f>
        <v>0.67969453225491194</v>
      </c>
      <c r="J56" s="238">
        <f>'Cuadro Áreas'!D79</f>
        <v>3367.8582000000001</v>
      </c>
      <c r="K56" s="238">
        <f>+G56/J56</f>
        <v>18.789865113679671</v>
      </c>
    </row>
    <row r="57" spans="2:11" x14ac:dyDescent="0.35">
      <c r="B57" s="640" t="s">
        <v>170</v>
      </c>
      <c r="C57" s="640"/>
      <c r="D57" s="357">
        <v>1</v>
      </c>
      <c r="E57" s="358">
        <f>SUM(E55:E56)</f>
        <v>9879.3050999999996</v>
      </c>
      <c r="F57" s="358">
        <f>SUM(F55:F56)</f>
        <v>23977.441500000001</v>
      </c>
      <c r="G57" s="358">
        <f>SUM(G55:G56)</f>
        <v>114561.10340000002</v>
      </c>
      <c r="H57" s="358">
        <f>+G57/F57</f>
        <v>4.777870207711695</v>
      </c>
      <c r="I57" s="358">
        <f>+J57/E57</f>
        <v>0.69529269826882867</v>
      </c>
      <c r="J57" s="358">
        <f>SUM(J55:J56)</f>
        <v>6869.0087000000003</v>
      </c>
      <c r="K57" s="358">
        <f>+G57/J57</f>
        <v>16.677967433641484</v>
      </c>
    </row>
    <row r="59" spans="2:11" ht="15.5" x14ac:dyDescent="0.35">
      <c r="B59" s="348" t="s">
        <v>407</v>
      </c>
      <c r="C59" s="349"/>
      <c r="D59" s="349"/>
      <c r="E59" s="349"/>
      <c r="F59" s="349"/>
      <c r="G59" s="349"/>
      <c r="H59" s="349"/>
      <c r="I59" s="349"/>
    </row>
    <row r="61" spans="2:11" x14ac:dyDescent="0.35">
      <c r="B61" s="359"/>
      <c r="C61" s="359"/>
      <c r="D61" s="360"/>
      <c r="E61" s="598" t="s">
        <v>408</v>
      </c>
      <c r="F61" s="598"/>
      <c r="G61" s="598"/>
    </row>
    <row r="62" spans="2:11" x14ac:dyDescent="0.35">
      <c r="B62" s="642" t="s">
        <v>479</v>
      </c>
      <c r="C62" s="642"/>
      <c r="D62" s="642"/>
      <c r="E62" s="52" t="s">
        <v>168</v>
      </c>
      <c r="F62" s="52" t="s">
        <v>169</v>
      </c>
      <c r="G62" s="52" t="s">
        <v>170</v>
      </c>
    </row>
    <row r="63" spans="2:11" x14ac:dyDescent="0.35">
      <c r="B63" s="641" t="str">
        <f>'Cuadro Áreas'!B126</f>
        <v>Comercio</v>
      </c>
      <c r="C63" s="641"/>
      <c r="D63" s="641"/>
      <c r="E63" s="361">
        <f>E72/G72</f>
        <v>0.52213739782743818</v>
      </c>
      <c r="F63" s="361">
        <f t="shared" ref="F63:F68" si="2">F72/G72</f>
        <v>0.47786260217256188</v>
      </c>
      <c r="G63" s="236">
        <f t="shared" ref="G63:G68" si="3">SUM(E63:F63)</f>
        <v>1</v>
      </c>
    </row>
    <row r="64" spans="2:11" x14ac:dyDescent="0.35">
      <c r="B64" s="641" t="str">
        <f>'Cuadro Áreas'!B127</f>
        <v>Servicios logisticos</v>
      </c>
      <c r="C64" s="641"/>
      <c r="D64" s="641"/>
      <c r="E64" s="361">
        <f>+E73/G73</f>
        <v>0.5063989490356674</v>
      </c>
      <c r="F64" s="361">
        <f t="shared" si="2"/>
        <v>0.4936010509643326</v>
      </c>
      <c r="G64" s="236">
        <f t="shared" si="3"/>
        <v>1</v>
      </c>
    </row>
    <row r="65" spans="2:9" x14ac:dyDescent="0.35">
      <c r="B65" s="641" t="str">
        <f>'Cuadro Áreas'!B128</f>
        <v>Oficinas</v>
      </c>
      <c r="C65" s="641"/>
      <c r="D65" s="641"/>
      <c r="E65" s="361">
        <f>+E74/G74</f>
        <v>0</v>
      </c>
      <c r="F65" s="361">
        <f t="shared" si="2"/>
        <v>1</v>
      </c>
      <c r="G65" s="236">
        <f t="shared" si="3"/>
        <v>1</v>
      </c>
    </row>
    <row r="66" spans="2:9" x14ac:dyDescent="0.35">
      <c r="B66" s="641" t="str">
        <f>'Cuadro Áreas'!B129</f>
        <v>Vivienda Estudiantil</v>
      </c>
      <c r="C66" s="641"/>
      <c r="D66" s="641"/>
      <c r="E66" s="361">
        <f>+E75/G75</f>
        <v>1</v>
      </c>
      <c r="F66" s="361">
        <f t="shared" si="2"/>
        <v>0</v>
      </c>
      <c r="G66" s="236">
        <f t="shared" si="3"/>
        <v>1</v>
      </c>
    </row>
    <row r="67" spans="2:9" x14ac:dyDescent="0.35">
      <c r="B67" s="641" t="str">
        <f>'Cuadro Áreas'!B130</f>
        <v>Vivienda Interes Social - VIS</v>
      </c>
      <c r="C67" s="641"/>
      <c r="D67" s="641"/>
      <c r="E67" s="361">
        <f>+E76/G76</f>
        <v>0.5908465661917045</v>
      </c>
      <c r="F67" s="361">
        <f t="shared" si="2"/>
        <v>0.40915343380829555</v>
      </c>
      <c r="G67" s="236">
        <f t="shared" si="3"/>
        <v>1</v>
      </c>
    </row>
    <row r="68" spans="2:9" x14ac:dyDescent="0.35">
      <c r="B68" s="641" t="str">
        <f>'Cuadro Áreas'!B131</f>
        <v>Vivienda ingresos medios</v>
      </c>
      <c r="C68" s="641"/>
      <c r="D68" s="641"/>
      <c r="E68" s="361">
        <f>+E77/G77</f>
        <v>0.36228563362304145</v>
      </c>
      <c r="F68" s="361">
        <f t="shared" si="2"/>
        <v>0.63771436637695855</v>
      </c>
      <c r="G68" s="236">
        <f t="shared" si="3"/>
        <v>1</v>
      </c>
    </row>
    <row r="69" spans="2:9" x14ac:dyDescent="0.35">
      <c r="B69" s="362"/>
      <c r="C69" s="362"/>
      <c r="D69" s="362"/>
      <c r="E69" s="72"/>
      <c r="F69" s="72"/>
      <c r="G69" s="72"/>
    </row>
    <row r="70" spans="2:9" x14ac:dyDescent="0.35">
      <c r="B70" s="363"/>
      <c r="C70" s="363"/>
      <c r="D70" s="364"/>
      <c r="E70" s="646" t="s">
        <v>409</v>
      </c>
      <c r="F70" s="646"/>
      <c r="G70" s="646"/>
    </row>
    <row r="71" spans="2:9" x14ac:dyDescent="0.35">
      <c r="B71" s="642" t="s">
        <v>480</v>
      </c>
      <c r="C71" s="642"/>
      <c r="D71" s="642"/>
      <c r="E71" s="52" t="s">
        <v>168</v>
      </c>
      <c r="F71" s="52" t="s">
        <v>169</v>
      </c>
      <c r="G71" s="52" t="s">
        <v>170</v>
      </c>
    </row>
    <row r="72" spans="2:9" x14ac:dyDescent="0.35">
      <c r="B72" s="641" t="str">
        <f t="shared" ref="B72:B77" si="4">B63</f>
        <v>Comercio</v>
      </c>
      <c r="C72" s="641"/>
      <c r="D72" s="641"/>
      <c r="E72" s="26">
        <f>'Cuadro Áreas'!C126</f>
        <v>3184.98254</v>
      </c>
      <c r="F72" s="26">
        <f>'Cuadro Áreas'!D126</f>
        <v>2914.9110000000001</v>
      </c>
      <c r="G72" s="64">
        <f t="shared" ref="G72:G77" si="5">SUM(E72:F72)</f>
        <v>6099.89354</v>
      </c>
    </row>
    <row r="73" spans="2:9" x14ac:dyDescent="0.35">
      <c r="B73" s="641" t="str">
        <f t="shared" si="4"/>
        <v>Servicios logisticos</v>
      </c>
      <c r="C73" s="641"/>
      <c r="D73" s="641"/>
      <c r="E73" s="26">
        <f>'Cuadro Áreas'!C127</f>
        <v>8340.6882000000005</v>
      </c>
      <c r="F73" s="26">
        <f>'Cuadro Áreas'!D127</f>
        <v>8129.8993</v>
      </c>
      <c r="G73" s="64">
        <f t="shared" si="5"/>
        <v>16470.587500000001</v>
      </c>
    </row>
    <row r="74" spans="2:9" x14ac:dyDescent="0.35">
      <c r="B74" s="641" t="str">
        <f t="shared" si="4"/>
        <v>Oficinas</v>
      </c>
      <c r="C74" s="641"/>
      <c r="D74" s="641"/>
      <c r="E74" s="26">
        <f>'Cuadro Áreas'!C128</f>
        <v>0</v>
      </c>
      <c r="F74" s="26">
        <f>'Cuadro Áreas'!D128</f>
        <v>6906.5358000000006</v>
      </c>
      <c r="G74" s="64">
        <f t="shared" si="5"/>
        <v>6906.5358000000006</v>
      </c>
    </row>
    <row r="75" spans="2:9" x14ac:dyDescent="0.35">
      <c r="B75" s="641" t="str">
        <f t="shared" si="4"/>
        <v>Vivienda Estudiantil</v>
      </c>
      <c r="C75" s="641"/>
      <c r="D75" s="641"/>
      <c r="E75" s="26">
        <f>'Cuadro Áreas'!C129</f>
        <v>5416.1193999999996</v>
      </c>
      <c r="F75" s="26">
        <f>'Cuadro Áreas'!D129</f>
        <v>0</v>
      </c>
      <c r="G75" s="64">
        <f t="shared" si="5"/>
        <v>5416.1193999999996</v>
      </c>
    </row>
    <row r="76" spans="2:9" x14ac:dyDescent="0.35">
      <c r="B76" s="641" t="str">
        <f t="shared" si="4"/>
        <v>Vivienda Interes Social - VIS</v>
      </c>
      <c r="C76" s="641"/>
      <c r="D76" s="641"/>
      <c r="E76" s="26">
        <f>'Cuadro Áreas'!C130</f>
        <v>14153.664500000001</v>
      </c>
      <c r="F76" s="26">
        <f>'Cuadro Áreas'!D130</f>
        <v>9801.2255000000005</v>
      </c>
      <c r="G76" s="64">
        <f t="shared" si="5"/>
        <v>23954.89</v>
      </c>
    </row>
    <row r="77" spans="2:9" x14ac:dyDescent="0.35">
      <c r="B77" s="641" t="str">
        <f t="shared" si="4"/>
        <v>Vivienda ingresos medios</v>
      </c>
      <c r="C77" s="641"/>
      <c r="D77" s="641"/>
      <c r="E77" s="26">
        <f>'Cuadro Áreas'!C131</f>
        <v>20184.047460000002</v>
      </c>
      <c r="F77" s="26">
        <f>'Cuadro Áreas'!D131</f>
        <v>35529.029700000006</v>
      </c>
      <c r="G77" s="64">
        <f t="shared" si="5"/>
        <v>55713.077160000008</v>
      </c>
    </row>
    <row r="78" spans="2:9" x14ac:dyDescent="0.35">
      <c r="B78" s="643" t="s">
        <v>170</v>
      </c>
      <c r="C78" s="643"/>
      <c r="D78" s="643"/>
      <c r="E78" s="234">
        <f>SUM(E72:E77)</f>
        <v>51279.502100000005</v>
      </c>
      <c r="F78" s="234">
        <f>SUM(F72:F77)</f>
        <v>63281.601300000009</v>
      </c>
      <c r="G78" s="234">
        <f>SUM(G72:G77)</f>
        <v>114561.10340000002</v>
      </c>
    </row>
    <row r="80" spans="2:9" s="277" customFormat="1" ht="15.5" x14ac:dyDescent="0.35">
      <c r="B80" s="6" t="s">
        <v>410</v>
      </c>
      <c r="C80" s="348"/>
      <c r="D80" s="349"/>
      <c r="E80" s="349"/>
      <c r="F80" s="349"/>
      <c r="G80" s="349"/>
      <c r="H80" s="349"/>
      <c r="I80" s="349"/>
    </row>
    <row r="81" spans="2:11" x14ac:dyDescent="0.35">
      <c r="G81" s="644"/>
      <c r="H81" s="645"/>
    </row>
    <row r="82" spans="2:11" x14ac:dyDescent="0.35">
      <c r="B82" s="652" t="s">
        <v>411</v>
      </c>
      <c r="C82" s="652"/>
      <c r="D82" s="652"/>
      <c r="E82" s="652"/>
      <c r="F82" s="84" t="s">
        <v>412</v>
      </c>
      <c r="G82" s="52" t="s">
        <v>413</v>
      </c>
      <c r="H82" s="388" t="s">
        <v>168</v>
      </c>
      <c r="I82" s="388" t="s">
        <v>169</v>
      </c>
      <c r="J82" s="387" t="s">
        <v>170</v>
      </c>
      <c r="K82" s="365" t="s">
        <v>414</v>
      </c>
    </row>
    <row r="83" spans="2:11" x14ac:dyDescent="0.35">
      <c r="B83" s="648" t="str">
        <f>'Cuadro Áreas'!B59</f>
        <v>Equipamiento - BIC (área construida)</v>
      </c>
      <c r="C83" s="648"/>
      <c r="D83" s="648"/>
      <c r="E83" s="648"/>
      <c r="F83" s="28">
        <v>2000000</v>
      </c>
      <c r="G83" s="26">
        <f>'Cuadro Áreas'!E59</f>
        <v>2437.0634</v>
      </c>
      <c r="H83" s="392">
        <f>F83*G83</f>
        <v>4874126800</v>
      </c>
      <c r="I83" s="392">
        <v>0</v>
      </c>
      <c r="J83" s="389">
        <f>H83+I83</f>
        <v>4874126800</v>
      </c>
      <c r="K83" s="149" t="s">
        <v>415</v>
      </c>
    </row>
    <row r="84" spans="2:11" x14ac:dyDescent="0.35">
      <c r="B84" s="648" t="str">
        <f>'Cuadro Áreas'!B60</f>
        <v>Equipamiento Servicios del cuidado (área construida)</v>
      </c>
      <c r="C84" s="648"/>
      <c r="D84" s="648"/>
      <c r="E84" s="648"/>
      <c r="F84" s="28">
        <v>1800000</v>
      </c>
      <c r="G84" s="26">
        <f>'Cuadro Áreas'!E60</f>
        <v>2775.1617999999999</v>
      </c>
      <c r="H84" s="392">
        <v>0</v>
      </c>
      <c r="I84" s="392">
        <f>F84*G84</f>
        <v>4995291240</v>
      </c>
      <c r="J84" s="389">
        <f>H84+I84</f>
        <v>4995291240</v>
      </c>
      <c r="K84" s="149" t="s">
        <v>416</v>
      </c>
    </row>
    <row r="85" spans="2:11" x14ac:dyDescent="0.35">
      <c r="B85" s="648" t="str">
        <f>'Cuadro Áreas'!B61</f>
        <v>Cesión espacio público efectivo - adicional - reubicar</v>
      </c>
      <c r="C85" s="648"/>
      <c r="D85" s="648"/>
      <c r="E85" s="648"/>
      <c r="F85" s="28">
        <v>300000</v>
      </c>
      <c r="G85" s="26">
        <f>'Cuadro Áreas'!E61</f>
        <v>11643.740099999999</v>
      </c>
      <c r="H85" s="392">
        <f>F85*'Cuadro Áreas'!C61</f>
        <v>1756770194.9999998</v>
      </c>
      <c r="I85" s="392">
        <f>F85*'Cuadro Áreas'!D61</f>
        <v>1736351835</v>
      </c>
      <c r="J85" s="389">
        <f>H85+I85</f>
        <v>3493122030</v>
      </c>
      <c r="K85" s="149" t="s">
        <v>417</v>
      </c>
    </row>
    <row r="86" spans="2:11" x14ac:dyDescent="0.35">
      <c r="B86" s="653" t="s">
        <v>235</v>
      </c>
      <c r="C86" s="653"/>
      <c r="D86" s="653"/>
      <c r="E86" s="653"/>
      <c r="F86" s="28">
        <v>650000</v>
      </c>
      <c r="G86" s="26">
        <f>'Cuadro Áreas'!E34</f>
        <v>7825.538700000001</v>
      </c>
      <c r="H86" s="392">
        <f>(G86*E20)*F86</f>
        <v>2466113130.2322979</v>
      </c>
      <c r="I86" s="392">
        <f>(G86*E31)*F86</f>
        <v>2620487024.7677026</v>
      </c>
      <c r="J86" s="389">
        <f>H86+I86</f>
        <v>5086600155</v>
      </c>
      <c r="K86" s="149" t="s">
        <v>417</v>
      </c>
    </row>
    <row r="87" spans="2:11" x14ac:dyDescent="0.35">
      <c r="B87" s="647" t="s">
        <v>238</v>
      </c>
      <c r="C87" s="647"/>
      <c r="D87" s="647"/>
      <c r="E87" s="647"/>
      <c r="F87" s="411">
        <v>1500000</v>
      </c>
      <c r="G87" s="30">
        <f>'Cuadro Áreas'!E8</f>
        <v>31802.980200000002</v>
      </c>
      <c r="H87" s="412">
        <f>(G87*E20)*F87</f>
        <v>23128340540.383339</v>
      </c>
      <c r="I87" s="412">
        <f>(G87*E31)*F87</f>
        <v>24576129759.616665</v>
      </c>
      <c r="J87" s="413">
        <f>H87+I87</f>
        <v>47704470300</v>
      </c>
      <c r="K87" s="366" t="s">
        <v>418</v>
      </c>
    </row>
    <row r="88" spans="2:11" x14ac:dyDescent="0.35">
      <c r="B88" s="654" t="s">
        <v>419</v>
      </c>
      <c r="C88" s="657" t="s">
        <v>420</v>
      </c>
      <c r="D88" s="657"/>
      <c r="E88" s="657"/>
      <c r="F88" s="483"/>
      <c r="G88" s="484"/>
      <c r="H88" s="478">
        <v>72000000</v>
      </c>
      <c r="I88" s="478">
        <v>24000000</v>
      </c>
      <c r="J88" s="479">
        <f>I88+H88</f>
        <v>96000000</v>
      </c>
      <c r="K88" s="149" t="s">
        <v>421</v>
      </c>
    </row>
    <row r="89" spans="2:11" ht="15" customHeight="1" x14ac:dyDescent="0.35">
      <c r="B89" s="655"/>
      <c r="C89" s="648" t="s">
        <v>422</v>
      </c>
      <c r="D89" s="648"/>
      <c r="E89" s="648"/>
      <c r="F89" s="238"/>
      <c r="G89" s="238"/>
      <c r="H89" s="392">
        <v>480000000</v>
      </c>
      <c r="I89" s="392">
        <v>336000000</v>
      </c>
      <c r="J89" s="389">
        <f>H89+I89</f>
        <v>816000000</v>
      </c>
      <c r="K89" s="149" t="s">
        <v>423</v>
      </c>
    </row>
    <row r="90" spans="2:11" x14ac:dyDescent="0.35">
      <c r="B90" s="655"/>
      <c r="C90" s="649" t="s">
        <v>424</v>
      </c>
      <c r="D90" s="649" t="s">
        <v>425</v>
      </c>
      <c r="E90" s="649"/>
      <c r="F90" s="238"/>
      <c r="G90" s="238"/>
      <c r="H90" s="392">
        <f>'Politica Moradores'!Q38</f>
        <v>20787373.749184746</v>
      </c>
      <c r="I90" s="392">
        <f>'Politica Moradores'!Q39+'Politica Moradores'!Q40</f>
        <v>4278254812.4307146</v>
      </c>
      <c r="J90" s="389">
        <f t="shared" ref="J90:J92" si="6">H90+I90</f>
        <v>4299042186.1798992</v>
      </c>
      <c r="K90" s="149"/>
    </row>
    <row r="91" spans="2:11" x14ac:dyDescent="0.35">
      <c r="B91" s="655"/>
      <c r="C91" s="649"/>
      <c r="D91" s="648" t="s">
        <v>426</v>
      </c>
      <c r="E91" s="648"/>
      <c r="F91" s="238"/>
      <c r="G91" s="238"/>
      <c r="H91" s="392">
        <f>'Politica Moradores'!R38</f>
        <v>11640360</v>
      </c>
      <c r="I91" s="392">
        <f>'Politica Moradores'!R39+'Politica Moradores'!R40</f>
        <v>1752367320</v>
      </c>
      <c r="J91" s="389">
        <f t="shared" si="6"/>
        <v>1764007680</v>
      </c>
      <c r="K91" s="149"/>
    </row>
    <row r="92" spans="2:11" x14ac:dyDescent="0.35">
      <c r="B92" s="656"/>
      <c r="C92" s="650"/>
      <c r="D92" s="651" t="s">
        <v>427</v>
      </c>
      <c r="E92" s="651"/>
      <c r="F92" s="480"/>
      <c r="G92" s="480"/>
      <c r="H92" s="481">
        <f>'Politica Moradores'!S38</f>
        <v>11640360</v>
      </c>
      <c r="I92" s="481">
        <f>'Politica Moradores'!S39+'Politica Moradores'!S40</f>
        <v>1752367320</v>
      </c>
      <c r="J92" s="482">
        <f t="shared" si="6"/>
        <v>1764007680</v>
      </c>
      <c r="K92" s="149"/>
    </row>
    <row r="93" spans="2:11" x14ac:dyDescent="0.35">
      <c r="B93" s="660" t="s">
        <v>236</v>
      </c>
      <c r="C93" s="660"/>
      <c r="D93" s="660"/>
      <c r="E93" s="660"/>
      <c r="F93" s="414"/>
      <c r="G93" s="21">
        <f>'Configuración predial actual'!F29</f>
        <v>23633.236799999999</v>
      </c>
      <c r="H93" s="415">
        <f>J93*E20</f>
        <v>9696508.689829573</v>
      </c>
      <c r="I93" s="415">
        <f>J93*E31</f>
        <v>10303491.310170427</v>
      </c>
      <c r="J93" s="416">
        <f>'Pasivos Ambientales'!J4</f>
        <v>20000000</v>
      </c>
      <c r="K93" s="149"/>
    </row>
    <row r="94" spans="2:11" x14ac:dyDescent="0.35">
      <c r="B94" s="653" t="s">
        <v>237</v>
      </c>
      <c r="C94" s="653"/>
      <c r="D94" s="653"/>
      <c r="E94" s="653"/>
      <c r="F94" s="28">
        <v>17000</v>
      </c>
      <c r="G94" s="390">
        <f>'Pasivos Ambientales'!F7</f>
        <v>6077.0119999999997</v>
      </c>
      <c r="H94" s="392">
        <f>F94*'Pasivos Ambientales'!F4</f>
        <v>654243.30000000005</v>
      </c>
      <c r="I94" s="392">
        <f>F94*('Pasivos Ambientales'!F5+'Pasivos Ambientales'!F6)</f>
        <v>102654960.69999999</v>
      </c>
      <c r="J94" s="389">
        <f>H94+I94</f>
        <v>103309203.99999999</v>
      </c>
      <c r="K94" s="149" t="s">
        <v>428</v>
      </c>
    </row>
    <row r="95" spans="2:11" x14ac:dyDescent="0.35">
      <c r="B95" s="648" t="s">
        <v>239</v>
      </c>
      <c r="C95" s="648"/>
      <c r="D95" s="648"/>
      <c r="E95" s="648"/>
      <c r="F95" s="28">
        <f>'Configuración predial actual'!M29</f>
        <v>3356263.4848411642</v>
      </c>
      <c r="G95" s="390">
        <f>'Cuadro Áreas'!D108</f>
        <v>434.33745900000002</v>
      </c>
      <c r="H95" s="392">
        <f>0.18*('Cuadro Áreas'!C108*'Cuadro Áreas'!C125)*F95</f>
        <v>929380610.26295543</v>
      </c>
      <c r="I95" s="392">
        <f>0.18*('Cuadro Áreas'!C108*'Cuadro Áreas'!D125)*F95</f>
        <v>1146904529.6095226</v>
      </c>
      <c r="J95" s="389">
        <f>H95+I95</f>
        <v>2076285139.872478</v>
      </c>
      <c r="K95" s="149" t="s">
        <v>429</v>
      </c>
    </row>
    <row r="96" spans="2:11" x14ac:dyDescent="0.35">
      <c r="B96" s="661" t="s">
        <v>170</v>
      </c>
      <c r="C96" s="661"/>
      <c r="D96" s="661"/>
      <c r="E96" s="661"/>
      <c r="F96" s="391"/>
      <c r="G96" s="234">
        <f>SUM(G83:G95)</f>
        <v>86629.07045900001</v>
      </c>
      <c r="H96" s="369">
        <f>SUM(H83:H95)</f>
        <v>33761150121.617607</v>
      </c>
      <c r="I96" s="369">
        <f>SUM(I83:I95)</f>
        <v>43331112293.434776</v>
      </c>
      <c r="J96" s="250">
        <f>SUM(J83:J95)</f>
        <v>77092262415.052383</v>
      </c>
    </row>
    <row r="97" spans="2:17" x14ac:dyDescent="0.35">
      <c r="B97" s="662" t="s">
        <v>430</v>
      </c>
      <c r="C97" s="662"/>
      <c r="D97" s="662"/>
      <c r="E97" s="662"/>
      <c r="F97" s="662"/>
      <c r="G97" s="662"/>
      <c r="H97" s="377">
        <f>H96/J96</f>
        <v>0.43793175947870083</v>
      </c>
      <c r="I97" s="377">
        <f>I96/J96</f>
        <v>0.56206824052129922</v>
      </c>
      <c r="J97" s="377">
        <f>J96/$J$96</f>
        <v>1</v>
      </c>
    </row>
    <row r="98" spans="2:17" x14ac:dyDescent="0.35">
      <c r="B98" s="383"/>
      <c r="C98" s="383"/>
      <c r="D98" s="383"/>
      <c r="E98" s="383"/>
      <c r="F98" s="383"/>
      <c r="G98" s="383"/>
      <c r="H98" s="438"/>
      <c r="I98" s="384"/>
      <c r="J98" s="384"/>
    </row>
    <row r="99" spans="2:17" s="277" customFormat="1" ht="15.5" x14ac:dyDescent="0.35">
      <c r="B99" s="6" t="s">
        <v>431</v>
      </c>
      <c r="C99" s="348"/>
      <c r="D99" s="349"/>
      <c r="E99" s="349"/>
      <c r="F99" s="349"/>
      <c r="G99" s="349"/>
      <c r="H99" s="439"/>
      <c r="I99" s="439"/>
    </row>
    <row r="100" spans="2:17" x14ac:dyDescent="0.35">
      <c r="Q100" s="6" t="s">
        <v>62</v>
      </c>
    </row>
    <row r="101" spans="2:17" x14ac:dyDescent="0.35">
      <c r="B101" s="359"/>
      <c r="C101" s="359"/>
      <c r="D101" s="360"/>
      <c r="E101" s="663" t="s">
        <v>432</v>
      </c>
      <c r="F101" s="663"/>
      <c r="G101" s="663"/>
      <c r="H101" s="663"/>
    </row>
    <row r="102" spans="2:17" x14ac:dyDescent="0.35">
      <c r="B102" s="642" t="s">
        <v>479</v>
      </c>
      <c r="C102" s="642"/>
      <c r="D102" s="642"/>
      <c r="E102" s="160" t="s">
        <v>168</v>
      </c>
      <c r="F102" s="150" t="s">
        <v>169</v>
      </c>
      <c r="G102" s="151" t="s">
        <v>170</v>
      </c>
      <c r="H102" s="151" t="s">
        <v>433</v>
      </c>
    </row>
    <row r="103" spans="2:17" x14ac:dyDescent="0.35">
      <c r="B103" s="641" t="str">
        <f>B63</f>
        <v>Comercio</v>
      </c>
      <c r="C103" s="641"/>
      <c r="D103" s="641"/>
      <c r="E103" s="246">
        <f>'Politica Moradores'!V47</f>
        <v>1791.5607</v>
      </c>
      <c r="F103" s="246">
        <f>'Politica Moradores'!W47</f>
        <v>1234.4327333333333</v>
      </c>
      <c r="G103" s="272">
        <f>E103+F103</f>
        <v>3025.9934333333331</v>
      </c>
      <c r="H103" s="422">
        <f>G103*E119</f>
        <v>36311921200</v>
      </c>
      <c r="I103" s="444"/>
      <c r="J103" s="269"/>
    </row>
    <row r="104" spans="2:17" x14ac:dyDescent="0.35">
      <c r="B104" s="641" t="str">
        <f>B64</f>
        <v>Servicios logisticos</v>
      </c>
      <c r="C104" s="641"/>
      <c r="D104" s="641"/>
      <c r="E104" s="246">
        <f>'Politica Moradores'!V48</f>
        <v>3022.4136500000004</v>
      </c>
      <c r="F104" s="246">
        <f>'Politica Moradores'!W48</f>
        <v>1216.7085999999999</v>
      </c>
      <c r="G104" s="272">
        <f>E104+F104</f>
        <v>4239.1222500000003</v>
      </c>
      <c r="H104" s="422">
        <f>G104*E120</f>
        <v>38152100250</v>
      </c>
      <c r="J104" s="269"/>
    </row>
    <row r="105" spans="2:17" x14ac:dyDescent="0.35">
      <c r="B105" s="658" t="s">
        <v>170</v>
      </c>
      <c r="C105" s="658"/>
      <c r="D105" s="658"/>
      <c r="E105" s="234">
        <f>SUM(E99:E104)</f>
        <v>4813.9743500000004</v>
      </c>
      <c r="F105" s="234">
        <f>SUM(F99:F104)</f>
        <v>2451.141333333333</v>
      </c>
      <c r="G105" s="234">
        <f>SUM(G99:G104)</f>
        <v>7265.1156833333334</v>
      </c>
      <c r="H105" s="250">
        <f>H103+H104</f>
        <v>74464021450</v>
      </c>
    </row>
    <row r="106" spans="2:17" x14ac:dyDescent="0.35">
      <c r="B106" s="362"/>
      <c r="C106" s="362"/>
      <c r="D106" s="362"/>
      <c r="E106" s="72"/>
      <c r="F106" s="72"/>
      <c r="G106" s="72"/>
    </row>
    <row r="107" spans="2:17" x14ac:dyDescent="0.35">
      <c r="B107" s="363"/>
      <c r="C107" s="363"/>
      <c r="D107" s="364"/>
      <c r="E107" s="659" t="s">
        <v>434</v>
      </c>
      <c r="F107" s="659"/>
      <c r="G107" s="659"/>
    </row>
    <row r="108" spans="2:17" x14ac:dyDescent="0.35">
      <c r="B108" s="642" t="s">
        <v>480</v>
      </c>
      <c r="C108" s="642"/>
      <c r="D108" s="642"/>
      <c r="E108" s="160" t="s">
        <v>168</v>
      </c>
      <c r="F108" s="150" t="s">
        <v>169</v>
      </c>
      <c r="G108" s="151" t="s">
        <v>170</v>
      </c>
    </row>
    <row r="109" spans="2:17" x14ac:dyDescent="0.35">
      <c r="B109" s="641" t="str">
        <f t="shared" ref="B109:B114" si="7">B63</f>
        <v>Comercio</v>
      </c>
      <c r="C109" s="641"/>
      <c r="D109" s="641"/>
      <c r="E109" s="246">
        <f>'Cuadro Áreas'!G126-E103</f>
        <v>527.48079999999982</v>
      </c>
      <c r="F109" s="246">
        <f>'Cuadro Áreas'!H126-F103</f>
        <v>866.30026666666686</v>
      </c>
      <c r="G109" s="152">
        <f>SUM(E109:F109)</f>
        <v>1393.7810666666667</v>
      </c>
      <c r="H109" s="149" t="s">
        <v>435</v>
      </c>
    </row>
    <row r="110" spans="2:17" x14ac:dyDescent="0.35">
      <c r="B110" s="641" t="str">
        <f t="shared" si="7"/>
        <v>Servicios logisticos</v>
      </c>
      <c r="C110" s="641"/>
      <c r="D110" s="641"/>
      <c r="E110" s="246">
        <f>'Cuadro Áreas'!G127-E104</f>
        <v>4509.3854499999998</v>
      </c>
      <c r="F110" s="246">
        <f>'Cuadro Áreas'!H127-F104</f>
        <v>5010.9346000000005</v>
      </c>
      <c r="G110" s="152">
        <f t="shared" ref="G110:G114" si="8">SUM(E110:F110)</f>
        <v>9520.3200500000003</v>
      </c>
      <c r="H110" s="149" t="s">
        <v>435</v>
      </c>
    </row>
    <row r="111" spans="2:17" x14ac:dyDescent="0.35">
      <c r="B111" s="641" t="str">
        <f t="shared" si="7"/>
        <v>Oficinas</v>
      </c>
      <c r="C111" s="641"/>
      <c r="D111" s="641"/>
      <c r="E111" s="246">
        <f>'Cuadro Áreas'!G128</f>
        <v>0</v>
      </c>
      <c r="F111" s="246">
        <f>'Cuadro Áreas'!H128</f>
        <v>5251.2551999999996</v>
      </c>
      <c r="G111" s="152">
        <f t="shared" si="8"/>
        <v>5251.2551999999996</v>
      </c>
    </row>
    <row r="112" spans="2:17" x14ac:dyDescent="0.35">
      <c r="B112" s="641" t="str">
        <f t="shared" si="7"/>
        <v>Vivienda Estudiantil</v>
      </c>
      <c r="C112" s="641"/>
      <c r="D112" s="641"/>
      <c r="E112" s="246">
        <f>'Cuadro Áreas'!G129</f>
        <v>3590.9874</v>
      </c>
      <c r="F112" s="246">
        <f>'Cuadro Áreas'!H129</f>
        <v>0</v>
      </c>
      <c r="G112" s="152">
        <f t="shared" si="8"/>
        <v>3590.9874</v>
      </c>
    </row>
    <row r="113" spans="2:10" x14ac:dyDescent="0.35">
      <c r="B113" s="641" t="str">
        <f t="shared" si="7"/>
        <v>Vivienda Interes Social - VIS</v>
      </c>
      <c r="C113" s="641"/>
      <c r="D113" s="641"/>
      <c r="E113" s="246">
        <f>'Cuadro Áreas'!G130</f>
        <v>11572.416000000001</v>
      </c>
      <c r="F113" s="246">
        <f>'Cuadro Áreas'!H130</f>
        <v>7553.8364999999994</v>
      </c>
      <c r="G113" s="152">
        <f t="shared" si="8"/>
        <v>19126.252500000002</v>
      </c>
    </row>
    <row r="114" spans="2:10" x14ac:dyDescent="0.35">
      <c r="B114" s="641" t="str">
        <f t="shared" si="7"/>
        <v>Vivienda ingresos medios</v>
      </c>
      <c r="C114" s="641"/>
      <c r="D114" s="641"/>
      <c r="E114" s="246">
        <f>'Cuadro Áreas'!G131</f>
        <v>14663.868</v>
      </c>
      <c r="F114" s="246">
        <f>'Cuadro Áreas'!H131</f>
        <v>27713.054400000001</v>
      </c>
      <c r="G114" s="152">
        <f t="shared" si="8"/>
        <v>42376.922400000003</v>
      </c>
      <c r="J114" s="436"/>
    </row>
    <row r="115" spans="2:10" x14ac:dyDescent="0.35">
      <c r="B115" s="658" t="s">
        <v>170</v>
      </c>
      <c r="C115" s="658"/>
      <c r="D115" s="658"/>
      <c r="E115" s="234">
        <f>SUM(E109:E114)</f>
        <v>34864.137650000004</v>
      </c>
      <c r="F115" s="234">
        <f>SUM(F109:F114)</f>
        <v>46395.380966666664</v>
      </c>
      <c r="G115" s="234">
        <f>SUM(G109:G114)</f>
        <v>81259.518616666668</v>
      </c>
      <c r="I115" s="437"/>
    </row>
    <row r="117" spans="2:10" x14ac:dyDescent="0.35">
      <c r="B117" s="363"/>
      <c r="C117" s="363"/>
      <c r="D117" s="364"/>
      <c r="E117" s="664" t="s">
        <v>412</v>
      </c>
      <c r="F117" s="665" t="s">
        <v>436</v>
      </c>
      <c r="G117" s="665"/>
      <c r="H117" s="665"/>
      <c r="I117" s="665"/>
    </row>
    <row r="118" spans="2:10" x14ac:dyDescent="0.35">
      <c r="B118" s="666" t="s">
        <v>480</v>
      </c>
      <c r="C118" s="666"/>
      <c r="D118" s="666"/>
      <c r="E118" s="664"/>
      <c r="F118" s="240" t="s">
        <v>168</v>
      </c>
      <c r="G118" s="240" t="s">
        <v>169</v>
      </c>
      <c r="H118" s="241" t="s">
        <v>170</v>
      </c>
      <c r="I118" s="241" t="s">
        <v>397</v>
      </c>
      <c r="J118" s="365" t="s">
        <v>437</v>
      </c>
    </row>
    <row r="119" spans="2:10" x14ac:dyDescent="0.35">
      <c r="B119" s="667" t="str">
        <f t="shared" ref="B119:B124" si="9">B63</f>
        <v>Comercio</v>
      </c>
      <c r="C119" s="667"/>
      <c r="D119" s="667"/>
      <c r="E119" s="402">
        <v>12000000</v>
      </c>
      <c r="F119" s="367">
        <f>E119*E109</f>
        <v>6329769599.9999981</v>
      </c>
      <c r="G119" s="367">
        <f>E119*F109</f>
        <v>10395603200.000002</v>
      </c>
      <c r="H119" s="239">
        <f t="shared" ref="H119:H124" si="10">SUM(F119:G119)</f>
        <v>16725372800</v>
      </c>
      <c r="I119" s="243">
        <f>H119/H125</f>
        <v>3.238500880108125E-2</v>
      </c>
      <c r="J119" s="149" t="s">
        <v>438</v>
      </c>
    </row>
    <row r="120" spans="2:10" x14ac:dyDescent="0.35">
      <c r="B120" s="667" t="str">
        <f t="shared" si="9"/>
        <v>Servicios logisticos</v>
      </c>
      <c r="C120" s="667"/>
      <c r="D120" s="667"/>
      <c r="E120" s="402">
        <v>9000000</v>
      </c>
      <c r="F120" s="367">
        <f t="shared" ref="F120:F124" si="11">E120*E110</f>
        <v>40584469050</v>
      </c>
      <c r="G120" s="367">
        <f t="shared" ref="G120:G124" si="12">E120*F110</f>
        <v>45098411400.000008</v>
      </c>
      <c r="H120" s="239">
        <f t="shared" si="10"/>
        <v>85682880450</v>
      </c>
      <c r="I120" s="243">
        <f>H120/H125</f>
        <v>0.16590606802350275</v>
      </c>
      <c r="J120" s="149" t="s">
        <v>438</v>
      </c>
    </row>
    <row r="121" spans="2:10" x14ac:dyDescent="0.35">
      <c r="B121" s="667" t="str">
        <f t="shared" si="9"/>
        <v>Oficinas</v>
      </c>
      <c r="C121" s="667"/>
      <c r="D121" s="667"/>
      <c r="E121" s="402">
        <v>10000000</v>
      </c>
      <c r="F121" s="367">
        <f t="shared" si="11"/>
        <v>0</v>
      </c>
      <c r="G121" s="367">
        <f t="shared" si="12"/>
        <v>52512551999.999992</v>
      </c>
      <c r="H121" s="239">
        <f t="shared" si="10"/>
        <v>52512551999.999992</v>
      </c>
      <c r="I121" s="243">
        <f>H121/H125</f>
        <v>0.10167901660686669</v>
      </c>
      <c r="J121" s="149" t="s">
        <v>438</v>
      </c>
    </row>
    <row r="122" spans="2:10" x14ac:dyDescent="0.35">
      <c r="B122" s="667" t="str">
        <f t="shared" si="9"/>
        <v>Vivienda Estudiantil</v>
      </c>
      <c r="C122" s="667"/>
      <c r="D122" s="667"/>
      <c r="E122" s="402">
        <v>6500000</v>
      </c>
      <c r="F122" s="367">
        <f t="shared" si="11"/>
        <v>23341418100</v>
      </c>
      <c r="G122" s="367">
        <f t="shared" si="12"/>
        <v>0</v>
      </c>
      <c r="H122" s="239">
        <f t="shared" si="10"/>
        <v>23341418100</v>
      </c>
      <c r="I122" s="243">
        <f>H122/H125</f>
        <v>4.5195526559397056E-2</v>
      </c>
      <c r="J122" s="149" t="s">
        <v>439</v>
      </c>
    </row>
    <row r="123" spans="2:10" x14ac:dyDescent="0.35">
      <c r="B123" s="667" t="str">
        <f t="shared" si="9"/>
        <v>Vivienda Interes Social - VIS</v>
      </c>
      <c r="C123" s="667"/>
      <c r="D123" s="667"/>
      <c r="E123" s="402">
        <f>(1000000*175)/'Cuadro Áreas'!F141</f>
        <v>4166666.6666666665</v>
      </c>
      <c r="F123" s="367">
        <f t="shared" si="11"/>
        <v>48218400000</v>
      </c>
      <c r="G123" s="367">
        <f t="shared" si="12"/>
        <v>31474318749.999996</v>
      </c>
      <c r="H123" s="239">
        <f t="shared" si="10"/>
        <v>79692718750</v>
      </c>
      <c r="I123" s="243">
        <f>H123/H125</f>
        <v>0.15430743631022936</v>
      </c>
      <c r="J123" s="149" t="s">
        <v>440</v>
      </c>
    </row>
    <row r="124" spans="2:10" x14ac:dyDescent="0.35">
      <c r="B124" s="667" t="str">
        <f t="shared" si="9"/>
        <v>Vivienda ingresos medios</v>
      </c>
      <c r="C124" s="667"/>
      <c r="D124" s="667"/>
      <c r="E124" s="402">
        <v>6100000</v>
      </c>
      <c r="F124" s="367">
        <f t="shared" si="11"/>
        <v>89449594800</v>
      </c>
      <c r="G124" s="367">
        <f t="shared" si="12"/>
        <v>169049631840</v>
      </c>
      <c r="H124" s="239">
        <f t="shared" si="10"/>
        <v>258499226640</v>
      </c>
      <c r="I124" s="243">
        <f>H124/H125</f>
        <v>0.50052694369892292</v>
      </c>
      <c r="J124" s="149" t="s">
        <v>441</v>
      </c>
    </row>
    <row r="125" spans="2:10" x14ac:dyDescent="0.35">
      <c r="B125" s="661" t="s">
        <v>170</v>
      </c>
      <c r="C125" s="661"/>
      <c r="D125" s="661"/>
      <c r="E125" s="661"/>
      <c r="F125" s="369">
        <f>SUM(F119:F124)</f>
        <v>207923651550</v>
      </c>
      <c r="G125" s="369">
        <f>SUM(G119:G124)</f>
        <v>308530517190</v>
      </c>
      <c r="H125" s="250">
        <f>SUM(H119:H124)</f>
        <v>516454168740</v>
      </c>
      <c r="I125" s="242">
        <f>SUM(I119:I124)</f>
        <v>1</v>
      </c>
    </row>
    <row r="126" spans="2:10" x14ac:dyDescent="0.35">
      <c r="B126" s="670" t="s">
        <v>430</v>
      </c>
      <c r="C126" s="670"/>
      <c r="D126" s="670"/>
      <c r="E126" s="670"/>
      <c r="F126" s="377">
        <f>F125/H125</f>
        <v>0.40259845720148618</v>
      </c>
      <c r="G126" s="377">
        <f>G125/H125</f>
        <v>0.59740154279851387</v>
      </c>
      <c r="H126" s="377">
        <f>H125/$H$125</f>
        <v>1</v>
      </c>
      <c r="I126" s="74"/>
    </row>
    <row r="127" spans="2:10" x14ac:dyDescent="0.35">
      <c r="B127" s="383"/>
      <c r="C127" s="383"/>
      <c r="D127" s="383"/>
      <c r="E127" s="383"/>
      <c r="F127" s="384"/>
      <c r="G127" s="384"/>
      <c r="H127" s="384"/>
    </row>
    <row r="128" spans="2:10" s="277" customFormat="1" ht="15.5" x14ac:dyDescent="0.35">
      <c r="B128" s="277" t="s">
        <v>442</v>
      </c>
      <c r="C128" s="6"/>
      <c r="D128" s="348"/>
      <c r="E128" s="349"/>
      <c r="F128" s="349"/>
      <c r="G128" s="349"/>
      <c r="H128" s="349"/>
      <c r="I128" s="349"/>
    </row>
    <row r="130" spans="2:10" ht="15" customHeight="1" x14ac:dyDescent="0.35">
      <c r="B130" s="363"/>
      <c r="C130" s="363"/>
      <c r="D130" s="364"/>
      <c r="E130" s="668" t="s">
        <v>443</v>
      </c>
      <c r="F130" s="669" t="s">
        <v>444</v>
      </c>
      <c r="G130" s="669"/>
      <c r="H130" s="669"/>
      <c r="I130" s="669"/>
    </row>
    <row r="131" spans="2:10" x14ac:dyDescent="0.35">
      <c r="B131" s="642" t="s">
        <v>480</v>
      </c>
      <c r="C131" s="642"/>
      <c r="D131" s="642"/>
      <c r="E131" s="668"/>
      <c r="F131" s="245" t="s">
        <v>168</v>
      </c>
      <c r="G131" s="245" t="s">
        <v>169</v>
      </c>
      <c r="H131" s="245" t="s">
        <v>170</v>
      </c>
      <c r="I131" s="245" t="s">
        <v>445</v>
      </c>
      <c r="J131" s="365" t="s">
        <v>414</v>
      </c>
    </row>
    <row r="132" spans="2:10" x14ac:dyDescent="0.35">
      <c r="B132" s="641" t="str">
        <f t="shared" ref="B132:B137" si="13">B63</f>
        <v>Comercio</v>
      </c>
      <c r="C132" s="641"/>
      <c r="D132" s="641"/>
      <c r="E132" s="251">
        <v>3200000</v>
      </c>
      <c r="F132" s="368">
        <f t="shared" ref="F132:F137" si="14">E132*E72</f>
        <v>10191944128</v>
      </c>
      <c r="G132" s="368">
        <f t="shared" ref="G132:G137" si="15">E132*F72</f>
        <v>9327715200</v>
      </c>
      <c r="H132" s="244">
        <f t="shared" ref="H132:H138" si="16">SUM(F132:G132)</f>
        <v>19519659328</v>
      </c>
      <c r="I132" s="370">
        <f>H132/H125</f>
        <v>3.7795530580423752E-2</v>
      </c>
      <c r="J132" s="149" t="s">
        <v>446</v>
      </c>
    </row>
    <row r="133" spans="2:10" x14ac:dyDescent="0.35">
      <c r="B133" s="641" t="str">
        <f t="shared" si="13"/>
        <v>Servicios logisticos</v>
      </c>
      <c r="C133" s="641"/>
      <c r="D133" s="641"/>
      <c r="E133" s="251">
        <v>1550000</v>
      </c>
      <c r="F133" s="368">
        <f t="shared" si="14"/>
        <v>12928066710</v>
      </c>
      <c r="G133" s="368">
        <f t="shared" si="15"/>
        <v>12601343915</v>
      </c>
      <c r="H133" s="244">
        <f t="shared" si="16"/>
        <v>25529410625</v>
      </c>
      <c r="I133" s="370">
        <f>H133/H125</f>
        <v>4.9432093243209629E-2</v>
      </c>
      <c r="J133" s="149" t="s">
        <v>446</v>
      </c>
    </row>
    <row r="134" spans="2:10" x14ac:dyDescent="0.35">
      <c r="B134" s="641" t="str">
        <f t="shared" si="13"/>
        <v>Oficinas</v>
      </c>
      <c r="C134" s="641"/>
      <c r="D134" s="641"/>
      <c r="E134" s="251">
        <v>2600000</v>
      </c>
      <c r="F134" s="368">
        <f t="shared" si="14"/>
        <v>0</v>
      </c>
      <c r="G134" s="368">
        <f t="shared" si="15"/>
        <v>17956993080</v>
      </c>
      <c r="H134" s="244">
        <f t="shared" si="16"/>
        <v>17956993080</v>
      </c>
      <c r="I134" s="370">
        <f>H134/H125</f>
        <v>3.4769770808143363E-2</v>
      </c>
      <c r="J134" s="149" t="s">
        <v>446</v>
      </c>
    </row>
    <row r="135" spans="2:10" x14ac:dyDescent="0.35">
      <c r="B135" s="641" t="str">
        <f t="shared" si="13"/>
        <v>Vivienda Estudiantil</v>
      </c>
      <c r="C135" s="641"/>
      <c r="D135" s="641"/>
      <c r="E135" s="251">
        <v>2400000</v>
      </c>
      <c r="F135" s="368">
        <f t="shared" si="14"/>
        <v>12998686559.999998</v>
      </c>
      <c r="G135" s="368">
        <f t="shared" si="15"/>
        <v>0</v>
      </c>
      <c r="H135" s="244">
        <f t="shared" si="16"/>
        <v>12998686559.999998</v>
      </c>
      <c r="I135" s="370">
        <f>H135/H125</f>
        <v>2.5169099886855523E-2</v>
      </c>
      <c r="J135" s="149" t="s">
        <v>446</v>
      </c>
    </row>
    <row r="136" spans="2:10" x14ac:dyDescent="0.35">
      <c r="B136" s="641" t="str">
        <f t="shared" si="13"/>
        <v>Vivienda Interes Social - VIS</v>
      </c>
      <c r="C136" s="641"/>
      <c r="D136" s="641"/>
      <c r="E136" s="251">
        <v>1200000</v>
      </c>
      <c r="F136" s="368">
        <f t="shared" si="14"/>
        <v>16984397400</v>
      </c>
      <c r="G136" s="368">
        <f t="shared" si="15"/>
        <v>11761470600</v>
      </c>
      <c r="H136" s="244">
        <f t="shared" si="16"/>
        <v>28745868000</v>
      </c>
      <c r="I136" s="370">
        <f>H136/H125</f>
        <v>5.5660056090033452E-2</v>
      </c>
      <c r="J136" s="149" t="s">
        <v>446</v>
      </c>
    </row>
    <row r="137" spans="2:10" x14ac:dyDescent="0.35">
      <c r="B137" s="641" t="str">
        <f t="shared" si="13"/>
        <v>Vivienda ingresos medios</v>
      </c>
      <c r="C137" s="641"/>
      <c r="D137" s="641"/>
      <c r="E137" s="251">
        <v>2700000</v>
      </c>
      <c r="F137" s="368">
        <f t="shared" si="14"/>
        <v>54496928142.000008</v>
      </c>
      <c r="G137" s="368">
        <f t="shared" si="15"/>
        <v>95928380190.000015</v>
      </c>
      <c r="H137" s="244">
        <f t="shared" si="16"/>
        <v>150425308332.00003</v>
      </c>
      <c r="I137" s="370">
        <f>H137/H125</f>
        <v>0.29126555159578754</v>
      </c>
      <c r="J137" s="149" t="s">
        <v>446</v>
      </c>
    </row>
    <row r="138" spans="2:10" x14ac:dyDescent="0.35">
      <c r="B138" s="641" t="str">
        <f>'Cuadro Áreas'!B104</f>
        <v>Sotanos</v>
      </c>
      <c r="C138" s="641"/>
      <c r="D138" s="641"/>
      <c r="E138" s="251">
        <v>2100000</v>
      </c>
      <c r="F138" s="368">
        <f>E138*'Cuadro Áreas'!C104</f>
        <v>13425267870</v>
      </c>
      <c r="G138" s="368">
        <f>E138*'Cuadro Áreas'!D104</f>
        <v>16978354260</v>
      </c>
      <c r="H138" s="244">
        <f t="shared" si="16"/>
        <v>30403622130</v>
      </c>
      <c r="I138" s="370">
        <f>H138/H125</f>
        <v>5.8869932648963057E-2</v>
      </c>
      <c r="J138" s="149" t="s">
        <v>438</v>
      </c>
    </row>
    <row r="139" spans="2:10" x14ac:dyDescent="0.35">
      <c r="B139" s="658" t="s">
        <v>170</v>
      </c>
      <c r="C139" s="658"/>
      <c r="D139" s="658"/>
      <c r="E139" s="658"/>
      <c r="F139" s="369">
        <f>SUM(F132:F138)</f>
        <v>121025290810</v>
      </c>
      <c r="G139" s="369">
        <f>SUM(G132:G138)</f>
        <v>164554257245</v>
      </c>
      <c r="H139" s="250">
        <f>SUM(H132:H138)</f>
        <v>285579548055</v>
      </c>
      <c r="I139" s="242">
        <f>H139/H125</f>
        <v>0.55296203485341622</v>
      </c>
    </row>
    <row r="140" spans="2:10" x14ac:dyDescent="0.35">
      <c r="B140" s="670" t="s">
        <v>430</v>
      </c>
      <c r="C140" s="670"/>
      <c r="D140" s="670"/>
      <c r="E140" s="670"/>
      <c r="F140" s="377">
        <f>F139/H139</f>
        <v>0.42378836871991843</v>
      </c>
      <c r="G140" s="377">
        <f>G139/H139</f>
        <v>0.57621163128008157</v>
      </c>
      <c r="H140" s="377">
        <f>H139/$H$139</f>
        <v>1</v>
      </c>
    </row>
    <row r="142" spans="2:10" s="277" customFormat="1" ht="15.5" x14ac:dyDescent="0.35">
      <c r="B142" s="277" t="s">
        <v>447</v>
      </c>
      <c r="C142" s="6"/>
      <c r="D142" s="348"/>
      <c r="E142" s="349"/>
      <c r="F142" s="349"/>
      <c r="G142" s="349"/>
      <c r="H142" s="349"/>
      <c r="I142" s="349"/>
    </row>
    <row r="144" spans="2:10" ht="15" customHeight="1" x14ac:dyDescent="0.35">
      <c r="B144" s="363"/>
      <c r="C144" s="363"/>
      <c r="D144" s="364"/>
      <c r="E144" s="671" t="s">
        <v>448</v>
      </c>
      <c r="F144" s="669" t="s">
        <v>449</v>
      </c>
      <c r="G144" s="669"/>
      <c r="H144" s="669"/>
      <c r="I144" s="374"/>
    </row>
    <row r="145" spans="2:9" x14ac:dyDescent="0.35">
      <c r="B145" s="672"/>
      <c r="C145" s="672"/>
      <c r="D145" s="672"/>
      <c r="E145" s="671"/>
      <c r="F145" s="245" t="s">
        <v>168</v>
      </c>
      <c r="G145" s="245" t="s">
        <v>169</v>
      </c>
      <c r="H145" s="245" t="s">
        <v>170</v>
      </c>
      <c r="I145" s="371"/>
    </row>
    <row r="146" spans="2:9" x14ac:dyDescent="0.35">
      <c r="B146" s="673" t="s">
        <v>227</v>
      </c>
      <c r="C146" s="673"/>
      <c r="D146" s="673"/>
      <c r="E146" s="425">
        <v>0.04</v>
      </c>
      <c r="F146" s="368">
        <f>F125*E146</f>
        <v>8316946062</v>
      </c>
      <c r="G146" s="368">
        <f>G125*E146</f>
        <v>12341220687.6</v>
      </c>
      <c r="H146" s="244">
        <f t="shared" ref="H146:H153" si="17">SUM(F146:G146)</f>
        <v>20658166749.599998</v>
      </c>
      <c r="I146" s="372"/>
    </row>
    <row r="147" spans="2:9" x14ac:dyDescent="0.35">
      <c r="B147" s="673" t="s">
        <v>228</v>
      </c>
      <c r="C147" s="673"/>
      <c r="D147" s="673"/>
      <c r="E147" s="425">
        <v>0.03</v>
      </c>
      <c r="F147" s="368">
        <f>F125*E147</f>
        <v>6237709546.5</v>
      </c>
      <c r="G147" s="368">
        <f>G125*E147</f>
        <v>9255915515.6999989</v>
      </c>
      <c r="H147" s="244">
        <f t="shared" si="17"/>
        <v>15493625062.199999</v>
      </c>
      <c r="I147" s="372"/>
    </row>
    <row r="148" spans="2:9" x14ac:dyDescent="0.35">
      <c r="B148" s="673" t="s">
        <v>229</v>
      </c>
      <c r="C148" s="673"/>
      <c r="D148" s="673"/>
      <c r="E148" s="425">
        <v>0.02</v>
      </c>
      <c r="F148" s="368">
        <f>F125*E148</f>
        <v>4158473031</v>
      </c>
      <c r="G148" s="368">
        <f>G125*E148</f>
        <v>6170610343.8000002</v>
      </c>
      <c r="H148" s="244">
        <f t="shared" si="17"/>
        <v>10329083374.799999</v>
      </c>
      <c r="I148" s="372"/>
    </row>
    <row r="149" spans="2:9" x14ac:dyDescent="0.35">
      <c r="B149" s="673" t="s">
        <v>230</v>
      </c>
      <c r="C149" s="673"/>
      <c r="D149" s="673"/>
      <c r="E149" s="425">
        <v>2.1999999999999999E-2</v>
      </c>
      <c r="F149" s="368">
        <f>F125*E149</f>
        <v>4574320334.0999994</v>
      </c>
      <c r="G149" s="368">
        <f>G125*E149</f>
        <v>6787671378.1799994</v>
      </c>
      <c r="H149" s="244">
        <f t="shared" si="17"/>
        <v>11361991712.279999</v>
      </c>
      <c r="I149" s="372"/>
    </row>
    <row r="150" spans="2:9" x14ac:dyDescent="0.35">
      <c r="B150" s="673" t="s">
        <v>231</v>
      </c>
      <c r="C150" s="673"/>
      <c r="D150" s="673"/>
      <c r="E150" s="425">
        <v>5.0000000000000001E-3</v>
      </c>
      <c r="F150" s="368">
        <f>F125*E150</f>
        <v>1039618257.75</v>
      </c>
      <c r="G150" s="368">
        <f>G125*E150</f>
        <v>1542652585.95</v>
      </c>
      <c r="H150" s="244">
        <f t="shared" si="17"/>
        <v>2582270843.6999998</v>
      </c>
      <c r="I150" s="372"/>
    </row>
    <row r="151" spans="2:9" x14ac:dyDescent="0.35">
      <c r="B151" s="673" t="s">
        <v>232</v>
      </c>
      <c r="C151" s="673"/>
      <c r="D151" s="673"/>
      <c r="E151" s="425">
        <v>0.02</v>
      </c>
      <c r="F151" s="368">
        <f>F125*E151</f>
        <v>4158473031</v>
      </c>
      <c r="G151" s="368">
        <f>G125*E151</f>
        <v>6170610343.8000002</v>
      </c>
      <c r="H151" s="244">
        <f t="shared" si="17"/>
        <v>10329083374.799999</v>
      </c>
      <c r="I151" s="372"/>
    </row>
    <row r="152" spans="2:9" x14ac:dyDescent="0.35">
      <c r="B152" s="673" t="s">
        <v>233</v>
      </c>
      <c r="C152" s="673"/>
      <c r="D152" s="673"/>
      <c r="E152" s="425">
        <v>1.4999999999999999E-2</v>
      </c>
      <c r="F152" s="368">
        <f>F125*E152</f>
        <v>3118854773.25</v>
      </c>
      <c r="G152" s="368">
        <f>G125*E152</f>
        <v>4627957757.8499994</v>
      </c>
      <c r="H152" s="244">
        <f t="shared" si="17"/>
        <v>7746812531.0999994</v>
      </c>
      <c r="I152" s="372"/>
    </row>
    <row r="153" spans="2:9" x14ac:dyDescent="0.35">
      <c r="B153" s="673" t="s">
        <v>234</v>
      </c>
      <c r="C153" s="673"/>
      <c r="D153" s="673"/>
      <c r="E153" s="425">
        <v>8.0000000000000002E-3</v>
      </c>
      <c r="F153" s="368">
        <f>F125*E153</f>
        <v>1663389212.4000001</v>
      </c>
      <c r="G153" s="368">
        <f>G125*E153</f>
        <v>2468244137.52</v>
      </c>
      <c r="H153" s="244">
        <f t="shared" si="17"/>
        <v>4131633349.9200001</v>
      </c>
      <c r="I153" s="372"/>
    </row>
    <row r="154" spans="2:9" x14ac:dyDescent="0.35">
      <c r="B154" s="643" t="s">
        <v>170</v>
      </c>
      <c r="C154" s="643"/>
      <c r="D154" s="643"/>
      <c r="E154" s="242">
        <f>SUM(E146:E153)</f>
        <v>0.16000000000000003</v>
      </c>
      <c r="F154" s="369">
        <f>SUM(F146:F153)</f>
        <v>33267784248</v>
      </c>
      <c r="G154" s="369">
        <f>SUM(G146:G153)</f>
        <v>49364882750.399994</v>
      </c>
      <c r="H154" s="250">
        <f>SUM(H146:H153)</f>
        <v>82632666998.399994</v>
      </c>
      <c r="I154" s="373"/>
    </row>
    <row r="155" spans="2:9" x14ac:dyDescent="0.35">
      <c r="B155" s="670" t="s">
        <v>430</v>
      </c>
      <c r="C155" s="670"/>
      <c r="D155" s="670"/>
      <c r="E155" s="670"/>
      <c r="F155" s="377">
        <f>F154/H154</f>
        <v>0.40259845720148618</v>
      </c>
      <c r="G155" s="377">
        <f>G154/H154</f>
        <v>0.59740154279851376</v>
      </c>
      <c r="H155" s="377">
        <f>H154/$H$154</f>
        <v>1</v>
      </c>
    </row>
    <row r="156" spans="2:9" x14ac:dyDescent="0.35">
      <c r="B156" s="383"/>
      <c r="C156" s="383"/>
      <c r="D156" s="383"/>
      <c r="E156" s="383"/>
      <c r="F156" s="384"/>
      <c r="G156" s="384"/>
      <c r="H156" s="384"/>
    </row>
    <row r="157" spans="2:9" s="399" customFormat="1" ht="15.5" x14ac:dyDescent="0.35">
      <c r="B157" s="399" t="s">
        <v>477</v>
      </c>
      <c r="C157" s="273"/>
      <c r="D157" s="348"/>
      <c r="E157" s="349"/>
      <c r="F157" s="349"/>
      <c r="G157" s="349"/>
      <c r="H157" s="349"/>
      <c r="I157" s="349"/>
    </row>
    <row r="159" spans="2:9" x14ac:dyDescent="0.35">
      <c r="B159" s="696" t="s">
        <v>474</v>
      </c>
      <c r="C159" s="696"/>
      <c r="D159" s="696"/>
      <c r="E159" s="74"/>
      <c r="F159" s="292" t="s">
        <v>168</v>
      </c>
      <c r="G159" s="292" t="s">
        <v>169</v>
      </c>
      <c r="H159" s="292" t="s">
        <v>170</v>
      </c>
      <c r="I159" s="427"/>
    </row>
    <row r="160" spans="2:9" x14ac:dyDescent="0.35">
      <c r="B160" s="697" t="s">
        <v>450</v>
      </c>
      <c r="C160" s="697"/>
      <c r="D160" s="697"/>
      <c r="E160" s="697"/>
      <c r="F160" s="378">
        <f>E20</f>
        <v>0.48482543449147864</v>
      </c>
      <c r="G160" s="378">
        <f>E31</f>
        <v>0.51517456550852136</v>
      </c>
      <c r="H160" s="381">
        <f>SUM(F160:G160)</f>
        <v>1</v>
      </c>
    </row>
    <row r="161" spans="2:9" x14ac:dyDescent="0.35">
      <c r="B161" s="699" t="s">
        <v>451</v>
      </c>
      <c r="C161" s="699"/>
      <c r="D161" s="699"/>
      <c r="E161" s="699"/>
      <c r="F161" s="379">
        <f>F160*H125</f>
        <v>250390116754.30591</v>
      </c>
      <c r="G161" s="379">
        <f>G160*H125</f>
        <v>266064051985.69409</v>
      </c>
      <c r="H161" s="426">
        <f>F161+G161</f>
        <v>516454168740</v>
      </c>
    </row>
    <row r="162" spans="2:9" x14ac:dyDescent="0.35">
      <c r="B162" s="698" t="s">
        <v>452</v>
      </c>
      <c r="C162" s="698"/>
      <c r="D162" s="698"/>
      <c r="E162" s="698"/>
      <c r="F162" s="378">
        <f>F126</f>
        <v>0.40259845720148618</v>
      </c>
      <c r="G162" s="378">
        <f>G126</f>
        <v>0.59740154279851387</v>
      </c>
      <c r="H162" s="381">
        <f>SUM(F162:G162)</f>
        <v>1</v>
      </c>
      <c r="I162" s="269"/>
    </row>
    <row r="163" spans="2:9" x14ac:dyDescent="0.35">
      <c r="B163" s="685" t="s">
        <v>453</v>
      </c>
      <c r="C163" s="685"/>
      <c r="D163" s="685"/>
      <c r="E163" s="685"/>
      <c r="F163" s="379">
        <f>F162*H125</f>
        <v>207923651550</v>
      </c>
      <c r="G163" s="379">
        <f>G162*H125</f>
        <v>308530517190</v>
      </c>
      <c r="H163" s="426">
        <f>F163+G163</f>
        <v>516454168740</v>
      </c>
      <c r="I163" s="269"/>
    </row>
    <row r="164" spans="2:9" x14ac:dyDescent="0.35">
      <c r="B164" s="686" t="s">
        <v>454</v>
      </c>
      <c r="C164" s="686"/>
      <c r="D164" s="686"/>
      <c r="E164" s="686"/>
      <c r="F164" s="433">
        <f>F162-F160</f>
        <v>-8.2226977289992453E-2</v>
      </c>
      <c r="G164" s="385">
        <f>G162-G160</f>
        <v>8.2226977289992509E-2</v>
      </c>
      <c r="H164" s="382"/>
    </row>
    <row r="165" spans="2:9" x14ac:dyDescent="0.35">
      <c r="B165" s="686" t="s">
        <v>455</v>
      </c>
      <c r="C165" s="686"/>
      <c r="D165" s="686"/>
      <c r="E165" s="686"/>
      <c r="F165" s="434">
        <f>F163-F161</f>
        <v>-42466465204.305908</v>
      </c>
      <c r="G165" s="386">
        <f>G163-G161</f>
        <v>42466465204.305908</v>
      </c>
      <c r="H165" s="428"/>
    </row>
    <row r="167" spans="2:9" x14ac:dyDescent="0.35">
      <c r="B167" s="431" t="s">
        <v>456</v>
      </c>
      <c r="C167" s="432"/>
      <c r="D167" s="432"/>
      <c r="E167" s="435"/>
      <c r="F167" s="292" t="s">
        <v>168</v>
      </c>
      <c r="G167" s="292" t="s">
        <v>169</v>
      </c>
      <c r="H167" s="292" t="s">
        <v>170</v>
      </c>
    </row>
    <row r="168" spans="2:9" x14ac:dyDescent="0.35">
      <c r="B168" s="690" t="s">
        <v>457</v>
      </c>
      <c r="C168" s="691"/>
      <c r="D168" s="691"/>
      <c r="E168" s="692"/>
      <c r="F168" s="378">
        <f>E20</f>
        <v>0.48482543449147864</v>
      </c>
      <c r="G168" s="378">
        <f>E31</f>
        <v>0.51517456550852136</v>
      </c>
      <c r="H168" s="381">
        <f>SUM(F168:G168)</f>
        <v>1</v>
      </c>
    </row>
    <row r="169" spans="2:9" x14ac:dyDescent="0.35">
      <c r="B169" s="690" t="s">
        <v>458</v>
      </c>
      <c r="C169" s="691"/>
      <c r="D169" s="691"/>
      <c r="E169" s="692"/>
      <c r="F169" s="379">
        <f>F168*H171</f>
        <v>37376289621.308861</v>
      </c>
      <c r="G169" s="379">
        <f>G168*H171</f>
        <v>39715972793.743523</v>
      </c>
      <c r="H169" s="380">
        <f>F169+G169</f>
        <v>77092262415.052383</v>
      </c>
    </row>
    <row r="170" spans="2:9" x14ac:dyDescent="0.35">
      <c r="B170" s="674" t="s">
        <v>459</v>
      </c>
      <c r="C170" s="675"/>
      <c r="D170" s="675"/>
      <c r="E170" s="676"/>
      <c r="F170" s="378">
        <f>H97</f>
        <v>0.43793175947870083</v>
      </c>
      <c r="G170" s="378">
        <f>I97</f>
        <v>0.56206824052129922</v>
      </c>
      <c r="H170" s="381">
        <f>F170+G170</f>
        <v>1</v>
      </c>
    </row>
    <row r="171" spans="2:9" x14ac:dyDescent="0.35">
      <c r="B171" s="687" t="s">
        <v>460</v>
      </c>
      <c r="C171" s="688"/>
      <c r="D171" s="688"/>
      <c r="E171" s="689"/>
      <c r="F171" s="379">
        <f>H96</f>
        <v>33761150121.617607</v>
      </c>
      <c r="G171" s="379">
        <f>I96</f>
        <v>43331112293.434776</v>
      </c>
      <c r="H171" s="380">
        <f>F171+G171</f>
        <v>77092262415.052383</v>
      </c>
    </row>
    <row r="172" spans="2:9" x14ac:dyDescent="0.35">
      <c r="B172" s="677" t="s">
        <v>454</v>
      </c>
      <c r="C172" s="678"/>
      <c r="D172" s="678"/>
      <c r="E172" s="679"/>
      <c r="F172" s="385">
        <f>F168-F170</f>
        <v>4.6893675012777802E-2</v>
      </c>
      <c r="G172" s="433">
        <f>G168-G170</f>
        <v>-4.6893675012777858E-2</v>
      </c>
      <c r="H172" s="382"/>
    </row>
    <row r="173" spans="2:9" x14ac:dyDescent="0.35">
      <c r="B173" s="677" t="s">
        <v>455</v>
      </c>
      <c r="C173" s="678"/>
      <c r="D173" s="678"/>
      <c r="E173" s="679"/>
      <c r="F173" s="386">
        <f>F169-F171</f>
        <v>3615139499.6912537</v>
      </c>
      <c r="G173" s="434">
        <f>G169-G171</f>
        <v>-3615139499.6912537</v>
      </c>
      <c r="H173" s="382"/>
    </row>
    <row r="174" spans="2:9" x14ac:dyDescent="0.35">
      <c r="B174" s="441"/>
      <c r="C174" s="441"/>
      <c r="D174" s="441"/>
      <c r="E174" s="441"/>
      <c r="F174" s="442"/>
      <c r="G174" s="443"/>
      <c r="H174" s="440"/>
    </row>
    <row r="175" spans="2:9" x14ac:dyDescent="0.35">
      <c r="B175" s="451" t="s">
        <v>473</v>
      </c>
      <c r="C175" s="431"/>
      <c r="D175" s="431"/>
      <c r="E175" s="431"/>
      <c r="F175" s="431"/>
      <c r="G175" s="431"/>
      <c r="H175" s="431"/>
    </row>
    <row r="176" spans="2:9" ht="26" x14ac:dyDescent="0.35">
      <c r="B176" s="693" t="s">
        <v>461</v>
      </c>
      <c r="C176" s="694"/>
      <c r="D176" s="292" t="s">
        <v>168</v>
      </c>
      <c r="E176" s="292" t="s">
        <v>169</v>
      </c>
      <c r="F176" s="292" t="s">
        <v>170</v>
      </c>
      <c r="G176" s="292" t="s">
        <v>433</v>
      </c>
      <c r="H176" s="450" t="s">
        <v>481</v>
      </c>
      <c r="I176" s="450" t="s">
        <v>482</v>
      </c>
    </row>
    <row r="177" spans="2:10" x14ac:dyDescent="0.35">
      <c r="B177" s="695" t="s">
        <v>88</v>
      </c>
      <c r="C177" s="695"/>
      <c r="D177" s="445">
        <f>E104</f>
        <v>3022.4136500000004</v>
      </c>
      <c r="E177" s="445">
        <f>F104</f>
        <v>1216.7085999999999</v>
      </c>
      <c r="F177" s="446">
        <f>G104</f>
        <v>4239.1222500000003</v>
      </c>
      <c r="G177" s="447">
        <f>H104</f>
        <v>38152100250</v>
      </c>
      <c r="H177" s="448">
        <f>F173/G177</f>
        <v>9.4755976106223758E-2</v>
      </c>
      <c r="I177" s="449">
        <f>H177*F177</f>
        <v>401.68216663236154</v>
      </c>
    </row>
    <row r="178" spans="2:10" x14ac:dyDescent="0.35">
      <c r="B178" s="383"/>
      <c r="C178" s="383"/>
      <c r="D178" s="383"/>
      <c r="E178" s="383"/>
      <c r="F178" s="384"/>
      <c r="G178" s="384"/>
      <c r="H178" s="438"/>
    </row>
    <row r="179" spans="2:10" s="399" customFormat="1" ht="15.5" x14ac:dyDescent="0.35">
      <c r="B179" s="399" t="s">
        <v>462</v>
      </c>
      <c r="C179" s="273"/>
      <c r="D179" s="348"/>
      <c r="E179" s="349"/>
      <c r="F179" s="349"/>
      <c r="G179" s="349"/>
      <c r="H179" s="349"/>
      <c r="I179" s="349"/>
    </row>
    <row r="180" spans="2:10" x14ac:dyDescent="0.35">
      <c r="J180" s="6" t="s">
        <v>62</v>
      </c>
    </row>
    <row r="181" spans="2:10" x14ac:dyDescent="0.35">
      <c r="B181" s="74"/>
      <c r="C181" s="74"/>
      <c r="D181" s="74"/>
      <c r="E181" s="74"/>
      <c r="F181" s="410" t="s">
        <v>168</v>
      </c>
      <c r="G181" s="410" t="s">
        <v>169</v>
      </c>
      <c r="H181" s="410" t="s">
        <v>170</v>
      </c>
    </row>
    <row r="182" spans="2:10" ht="15.5" x14ac:dyDescent="0.35">
      <c r="B182" s="680" t="s">
        <v>469</v>
      </c>
      <c r="C182" s="680"/>
      <c r="D182" s="680"/>
      <c r="E182" s="680"/>
      <c r="F182" s="367">
        <f>F125</f>
        <v>207923651550</v>
      </c>
      <c r="G182" s="367">
        <f>G125</f>
        <v>308530517190</v>
      </c>
      <c r="H182" s="239">
        <f t="shared" ref="H182:H187" si="18">F182+G182</f>
        <v>516454168740</v>
      </c>
      <c r="I182" s="400"/>
    </row>
    <row r="183" spans="2:10" ht="15.65" customHeight="1" x14ac:dyDescent="0.35">
      <c r="B183" s="680" t="s">
        <v>470</v>
      </c>
      <c r="C183" s="680"/>
      <c r="D183" s="680"/>
      <c r="E183" s="680"/>
      <c r="F183" s="368">
        <f>F139</f>
        <v>121025290810</v>
      </c>
      <c r="G183" s="368">
        <f>G139</f>
        <v>164554257245</v>
      </c>
      <c r="H183" s="244">
        <f t="shared" si="18"/>
        <v>285579548055</v>
      </c>
      <c r="I183" s="400">
        <f>H183/H182</f>
        <v>0.55296203485341622</v>
      </c>
    </row>
    <row r="184" spans="2:10" ht="15.65" customHeight="1" x14ac:dyDescent="0.35">
      <c r="B184" s="680" t="s">
        <v>471</v>
      </c>
      <c r="C184" s="680"/>
      <c r="D184" s="680"/>
      <c r="E184" s="680"/>
      <c r="F184" s="368">
        <f>F154</f>
        <v>33267784248</v>
      </c>
      <c r="G184" s="368">
        <f>G154</f>
        <v>49364882750.399994</v>
      </c>
      <c r="H184" s="244">
        <f t="shared" si="18"/>
        <v>82632666998.399994</v>
      </c>
      <c r="I184" s="400">
        <f>H184/H182</f>
        <v>0.15999999999999998</v>
      </c>
    </row>
    <row r="185" spans="2:10" ht="15.5" x14ac:dyDescent="0.35">
      <c r="B185" s="680" t="s">
        <v>472</v>
      </c>
      <c r="C185" s="680"/>
      <c r="D185" s="680"/>
      <c r="E185" s="680"/>
      <c r="F185" s="392">
        <f>H96</f>
        <v>33761150121.617607</v>
      </c>
      <c r="G185" s="392">
        <f>I96</f>
        <v>43331112293.434776</v>
      </c>
      <c r="H185" s="393">
        <f t="shared" si="18"/>
        <v>77092262415.052383</v>
      </c>
      <c r="I185" s="400">
        <f>H185/H182</f>
        <v>0.1492722241029352</v>
      </c>
    </row>
    <row r="186" spans="2:10" ht="15.65" customHeight="1" x14ac:dyDescent="0.35">
      <c r="B186" s="681" t="s">
        <v>387</v>
      </c>
      <c r="C186" s="682"/>
      <c r="D186" s="682"/>
      <c r="E186" s="683"/>
      <c r="F186" s="423">
        <f>G36</f>
        <v>116403600</v>
      </c>
      <c r="G186" s="423">
        <f>H36</f>
        <v>17523673200</v>
      </c>
      <c r="H186" s="380">
        <f t="shared" si="18"/>
        <v>17640076800</v>
      </c>
      <c r="I186" s="400">
        <f>H186/H182</f>
        <v>3.4156132078547702E-2</v>
      </c>
    </row>
    <row r="187" spans="2:10" ht="14.5" customHeight="1" x14ac:dyDescent="0.35">
      <c r="B187" s="684" t="s">
        <v>463</v>
      </c>
      <c r="C187" s="684"/>
      <c r="D187" s="684"/>
      <c r="E187" s="684"/>
      <c r="F187" s="375">
        <f>F182-(F183+F184+F185+F186)</f>
        <v>19753022770.382385</v>
      </c>
      <c r="G187" s="375">
        <f>G182-(G183+G184+G185+G186)</f>
        <v>33756591701.165222</v>
      </c>
      <c r="H187" s="376">
        <f t="shared" si="18"/>
        <v>53509614471.547607</v>
      </c>
      <c r="I187" s="400">
        <f>H187/H182</f>
        <v>0.10360960896510084</v>
      </c>
    </row>
    <row r="188" spans="2:10" x14ac:dyDescent="0.35">
      <c r="I188" s="401">
        <f>SUM(I183:I187)</f>
        <v>1</v>
      </c>
    </row>
  </sheetData>
  <sheetProtection sheet="1" objects="1" scenarios="1" selectLockedCells="1" selectUnlockedCells="1"/>
  <mergeCells count="128">
    <mergeCell ref="B159:D159"/>
    <mergeCell ref="B160:E160"/>
    <mergeCell ref="B162:E162"/>
    <mergeCell ref="B164:E164"/>
    <mergeCell ref="B161:E161"/>
    <mergeCell ref="B155:E155"/>
    <mergeCell ref="B149:D149"/>
    <mergeCell ref="B150:D150"/>
    <mergeCell ref="B151:D151"/>
    <mergeCell ref="B152:D152"/>
    <mergeCell ref="B153:D153"/>
    <mergeCell ref="B154:D154"/>
    <mergeCell ref="B170:E170"/>
    <mergeCell ref="B172:E172"/>
    <mergeCell ref="B183:E183"/>
    <mergeCell ref="B184:E184"/>
    <mergeCell ref="B185:E185"/>
    <mergeCell ref="B186:E186"/>
    <mergeCell ref="B187:E187"/>
    <mergeCell ref="B163:E163"/>
    <mergeCell ref="B165:E165"/>
    <mergeCell ref="B182:E182"/>
    <mergeCell ref="B171:E171"/>
    <mergeCell ref="B169:E169"/>
    <mergeCell ref="B173:E173"/>
    <mergeCell ref="B176:C176"/>
    <mergeCell ref="B177:C177"/>
    <mergeCell ref="B168:E168"/>
    <mergeCell ref="E144:E145"/>
    <mergeCell ref="F144:H144"/>
    <mergeCell ref="B145:D145"/>
    <mergeCell ref="B146:D146"/>
    <mergeCell ref="B147:D147"/>
    <mergeCell ref="B148:D148"/>
    <mergeCell ref="B135:D135"/>
    <mergeCell ref="B136:D136"/>
    <mergeCell ref="B137:D137"/>
    <mergeCell ref="B138:D138"/>
    <mergeCell ref="B140:E140"/>
    <mergeCell ref="E130:E131"/>
    <mergeCell ref="F130:I130"/>
    <mergeCell ref="B131:D131"/>
    <mergeCell ref="B132:D132"/>
    <mergeCell ref="B133:D133"/>
    <mergeCell ref="B134:D134"/>
    <mergeCell ref="B139:E139"/>
    <mergeCell ref="B121:D121"/>
    <mergeCell ref="B122:D122"/>
    <mergeCell ref="B123:D123"/>
    <mergeCell ref="B124:D124"/>
    <mergeCell ref="B125:E125"/>
    <mergeCell ref="B126:E126"/>
    <mergeCell ref="B115:D115"/>
    <mergeCell ref="E117:E118"/>
    <mergeCell ref="F117:I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2:D102"/>
    <mergeCell ref="B103:D103"/>
    <mergeCell ref="B104:D104"/>
    <mergeCell ref="B105:D105"/>
    <mergeCell ref="E107:G107"/>
    <mergeCell ref="B108:D108"/>
    <mergeCell ref="B93:E93"/>
    <mergeCell ref="B94:E94"/>
    <mergeCell ref="B95:E95"/>
    <mergeCell ref="B96:E96"/>
    <mergeCell ref="B97:G97"/>
    <mergeCell ref="E101:H101"/>
    <mergeCell ref="C89:E89"/>
    <mergeCell ref="C90:C92"/>
    <mergeCell ref="D90:E90"/>
    <mergeCell ref="D91:E91"/>
    <mergeCell ref="D92:E92"/>
    <mergeCell ref="B82:E82"/>
    <mergeCell ref="B83:E83"/>
    <mergeCell ref="B84:E84"/>
    <mergeCell ref="B85:E85"/>
    <mergeCell ref="B86:E86"/>
    <mergeCell ref="B88:B92"/>
    <mergeCell ref="C88:E88"/>
    <mergeCell ref="B78:D78"/>
    <mergeCell ref="G81:H81"/>
    <mergeCell ref="B67:D67"/>
    <mergeCell ref="B68:D68"/>
    <mergeCell ref="E70:G70"/>
    <mergeCell ref="B71:D71"/>
    <mergeCell ref="B72:D72"/>
    <mergeCell ref="B73:D73"/>
    <mergeCell ref="B87:E87"/>
    <mergeCell ref="B52:E52"/>
    <mergeCell ref="B54:C54"/>
    <mergeCell ref="B55:C55"/>
    <mergeCell ref="B56:C56"/>
    <mergeCell ref="B57:C57"/>
    <mergeCell ref="B74:D74"/>
    <mergeCell ref="B75:D75"/>
    <mergeCell ref="B76:D76"/>
    <mergeCell ref="B77:D77"/>
    <mergeCell ref="E61:G61"/>
    <mergeCell ref="B62:D62"/>
    <mergeCell ref="B63:D63"/>
    <mergeCell ref="B64:D64"/>
    <mergeCell ref="B65:D65"/>
    <mergeCell ref="B66:D66"/>
    <mergeCell ref="B51:E51"/>
    <mergeCell ref="B39:F39"/>
    <mergeCell ref="B44:E44"/>
    <mergeCell ref="B45:E45"/>
    <mergeCell ref="B46:E46"/>
    <mergeCell ref="B47:E47"/>
    <mergeCell ref="B49:E49"/>
    <mergeCell ref="B9:B19"/>
    <mergeCell ref="B21:B30"/>
    <mergeCell ref="B31:C31"/>
    <mergeCell ref="B32:C32"/>
    <mergeCell ref="B36:C38"/>
    <mergeCell ref="D36:F36"/>
    <mergeCell ref="D37:F37"/>
    <mergeCell ref="D38:F38"/>
    <mergeCell ref="B20:C2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PP</vt:lpstr>
      <vt:lpstr>Usos</vt:lpstr>
      <vt:lpstr>Pasivos Ambientales</vt:lpstr>
      <vt:lpstr>Politica Moradores</vt:lpstr>
      <vt:lpstr>Conclusiones</vt:lpstr>
      <vt:lpstr>CONTENIDO</vt:lpstr>
      <vt:lpstr>Configuración predial actual</vt:lpstr>
      <vt:lpstr>Situación jurídica predios</vt:lpstr>
      <vt:lpstr>Cuadro Áreas</vt:lpstr>
      <vt:lpstr>Reparto Cargas</vt:lpstr>
      <vt:lpstr>'Configuración predial actual'!Área_de_impresión</vt:lpstr>
      <vt:lpstr>'Cuadro Áreas'!Área_de_impresión</vt:lpstr>
      <vt:lpstr>'Pasivos Ambientales'!Área_de_impresión</vt:lpstr>
      <vt:lpstr>'Politica Moradores'!Área_de_impresión</vt:lpstr>
      <vt:lpstr>PP!Área_de_impresión</vt:lpstr>
      <vt:lpstr>'Reparto Cargas'!Área_de_impresión</vt:lpstr>
      <vt:lpstr>'Situación jurídica predios'!Área_de_impresión</vt:lpstr>
      <vt:lpstr>Usos!Área_de_impresión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</dc:creator>
  <cp:keywords/>
  <dc:description/>
  <cp:lastModifiedBy>Sophia Rayo</cp:lastModifiedBy>
  <cp:revision/>
  <dcterms:created xsi:type="dcterms:W3CDTF">2022-06-18T22:55:23Z</dcterms:created>
  <dcterms:modified xsi:type="dcterms:W3CDTF">2022-09-27T15:45:10Z</dcterms:modified>
  <cp:category/>
  <cp:contentStatus/>
</cp:coreProperties>
</file>