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redu.sharepoint.com/sites/PROYECTODEGRADOHIDROGENOVERDETTB/Documentos compartidos/"/>
    </mc:Choice>
  </mc:AlternateContent>
  <xr:revisionPtr revIDLastSave="82" documentId="8_{AD1D7D8A-3C65-424F-9B36-7AA8278ACE0E}" xr6:coauthVersionLast="47" xr6:coauthVersionMax="47" xr10:uidLastSave="{C34DCDB9-951D-4776-9E96-2FF5B7F75E8C}"/>
  <bookViews>
    <workbookView xWindow="-120" yWindow="-120" windowWidth="29040" windowHeight="15840" activeTab="5" xr2:uid="{7CE836CA-88D8-4CC7-B96E-DFCC8221A8A0}"/>
  </bookViews>
  <sheets>
    <sheet name="DATOS " sheetId="12" r:id="rId1"/>
    <sheet name="Capacidad" sheetId="18" r:id="rId2"/>
    <sheet name="CTO SFV" sheetId="1" r:id="rId3"/>
    <sheet name="LCOH" sheetId="2" r:id="rId4"/>
    <sheet name="ELECTROLIZADOR" sheetId="3" r:id="rId5"/>
    <sheet name="Flujo de caja" sheetId="8" r:id="rId6"/>
    <sheet name="TIR todos" sheetId="20" r:id="rId7"/>
    <sheet name="EL200N" sheetId="14" state="hidden" r:id="rId8"/>
    <sheet name="EL400N " sheetId="15" state="hidden" r:id="rId9"/>
    <sheet name="EL600N " sheetId="16" state="hidden" r:id="rId10"/>
    <sheet name="EL100N-EL200N" sheetId="17" state="hidden" r:id="rId11"/>
    <sheet name="LCOH Resultados " sheetId="19" r:id="rId12"/>
    <sheet name="EmisionesCO2" sheetId="21" r:id="rId13"/>
    <sheet name="DesgloseCostos EZ" sheetId="22" r:id="rId14"/>
  </sheets>
  <externalReferences>
    <externalReference r:id="rId15"/>
  </externalReferences>
  <definedNames>
    <definedName name="COSTO_INICIAL">#REF!</definedName>
    <definedName name="COSTO_MANT_ACTUAL">#REF!</definedName>
    <definedName name="COSTO_OH">#REF!</definedName>
    <definedName name="infkWh">'[1]Datos problema'!$C$15</definedName>
    <definedName name="INFLACION">'[1]Datos problema'!$C$14</definedName>
    <definedName name="kWh">'[1]Datos problema'!$C$10</definedName>
    <definedName name="POR_MANT">'[1]Datos problema'!$C$11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2" l="1"/>
  <c r="B30" i="2"/>
  <c r="C32" i="2"/>
  <c r="E30" i="2"/>
  <c r="M12" i="2"/>
  <c r="M16" i="2"/>
  <c r="E75" i="12" l="1"/>
  <c r="F75" i="12" s="1"/>
  <c r="E58" i="12"/>
  <c r="F58" i="12" s="1"/>
  <c r="E42" i="12"/>
  <c r="F42" i="12" s="1"/>
  <c r="E26" i="12"/>
  <c r="F26" i="12" s="1"/>
  <c r="F69" i="12"/>
  <c r="F53" i="12"/>
  <c r="F37" i="12"/>
  <c r="F21" i="12"/>
  <c r="F5" i="12"/>
  <c r="I18" i="21"/>
  <c r="E11" i="19"/>
  <c r="E12" i="19"/>
  <c r="N4" i="18"/>
  <c r="K4" i="18"/>
  <c r="O4" i="18" s="1"/>
  <c r="E10" i="8"/>
  <c r="M7" i="12"/>
  <c r="E28" i="8"/>
  <c r="F28" i="8"/>
  <c r="G28" i="8"/>
  <c r="H28" i="8"/>
  <c r="D28" i="8"/>
  <c r="T24" i="8"/>
  <c r="U24" i="8"/>
  <c r="V24" i="8"/>
  <c r="W24" i="8"/>
  <c r="X24" i="8"/>
  <c r="Y24" i="8"/>
  <c r="Z24" i="8"/>
  <c r="AA24" i="8"/>
  <c r="AB24" i="8"/>
  <c r="AC24" i="8"/>
  <c r="E6" i="8"/>
  <c r="K5" i="18" l="1"/>
  <c r="K6" i="18"/>
  <c r="K7" i="18"/>
  <c r="G4" i="18"/>
  <c r="H4" i="18" s="1"/>
  <c r="I4" i="18" s="1"/>
  <c r="E12" i="8" s="1"/>
  <c r="G5" i="18" l="1"/>
  <c r="G6" i="18"/>
  <c r="G7" i="18"/>
  <c r="L18" i="2"/>
  <c r="D7" i="2"/>
  <c r="E6" i="12" l="1"/>
  <c r="K3" i="12" s="1"/>
  <c r="E10" i="12" l="1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N5" i="18"/>
  <c r="O5" i="18" s="1"/>
  <c r="N6" i="18"/>
  <c r="O6" i="18" s="1"/>
  <c r="N7" i="18"/>
  <c r="O7" i="18" s="1"/>
  <c r="M8" i="18"/>
  <c r="N8" i="18" s="1"/>
  <c r="H6" i="18"/>
  <c r="C8" i="18"/>
  <c r="K8" i="18" s="1"/>
  <c r="D8" i="18"/>
  <c r="G8" i="18" l="1"/>
  <c r="E3" i="17"/>
  <c r="O8" i="18"/>
  <c r="E3" i="16"/>
  <c r="E10" i="16"/>
  <c r="F10" i="16" s="1"/>
  <c r="G10" i="16" s="1"/>
  <c r="H10" i="16" s="1"/>
  <c r="I10" i="16" s="1"/>
  <c r="J10" i="16" s="1"/>
  <c r="K10" i="16" s="1"/>
  <c r="L10" i="16" s="1"/>
  <c r="M10" i="16" s="1"/>
  <c r="N10" i="16" s="1"/>
  <c r="O10" i="16" s="1"/>
  <c r="P10" i="16" s="1"/>
  <c r="Q10" i="16" s="1"/>
  <c r="R10" i="16" s="1"/>
  <c r="S10" i="16" s="1"/>
  <c r="T10" i="16" s="1"/>
  <c r="U10" i="16" s="1"/>
  <c r="V10" i="16" s="1"/>
  <c r="W10" i="16" s="1"/>
  <c r="X10" i="16" s="1"/>
  <c r="Y10" i="16" s="1"/>
  <c r="Z10" i="16" s="1"/>
  <c r="AA10" i="16" s="1"/>
  <c r="AB10" i="16" s="1"/>
  <c r="AC10" i="16" s="1"/>
  <c r="I6" i="18"/>
  <c r="J6" i="18" s="1"/>
  <c r="E11" i="14"/>
  <c r="F11" i="14" s="1"/>
  <c r="G11" i="14" s="1"/>
  <c r="H11" i="14" s="1"/>
  <c r="I11" i="14" s="1"/>
  <c r="J11" i="14" s="1"/>
  <c r="K11" i="14" s="1"/>
  <c r="L11" i="14" s="1"/>
  <c r="M11" i="14" s="1"/>
  <c r="N11" i="14" s="1"/>
  <c r="O11" i="14" s="1"/>
  <c r="P11" i="14" s="1"/>
  <c r="Q11" i="14" s="1"/>
  <c r="R11" i="14" s="1"/>
  <c r="S11" i="14" s="1"/>
  <c r="T11" i="14" s="1"/>
  <c r="U11" i="14" s="1"/>
  <c r="V11" i="14" s="1"/>
  <c r="W11" i="14" s="1"/>
  <c r="X11" i="14" s="1"/>
  <c r="Y11" i="14" s="1"/>
  <c r="Z11" i="14" s="1"/>
  <c r="AA11" i="14" s="1"/>
  <c r="AB11" i="14" s="1"/>
  <c r="AC11" i="14" s="1"/>
  <c r="E11" i="15"/>
  <c r="F11" i="15" s="1"/>
  <c r="G11" i="15" s="1"/>
  <c r="H11" i="15" s="1"/>
  <c r="I11" i="15" s="1"/>
  <c r="J11" i="15" s="1"/>
  <c r="K11" i="15" s="1"/>
  <c r="L11" i="15" s="1"/>
  <c r="M11" i="15" s="1"/>
  <c r="N11" i="15" s="1"/>
  <c r="O11" i="15" s="1"/>
  <c r="P11" i="15" s="1"/>
  <c r="Q11" i="15" s="1"/>
  <c r="R11" i="15" s="1"/>
  <c r="S11" i="15" s="1"/>
  <c r="T11" i="15" s="1"/>
  <c r="U11" i="15" s="1"/>
  <c r="V11" i="15" s="1"/>
  <c r="W11" i="15" s="1"/>
  <c r="X11" i="15" s="1"/>
  <c r="Y11" i="15" s="1"/>
  <c r="Z11" i="15" s="1"/>
  <c r="AA11" i="15" s="1"/>
  <c r="AB11" i="15" s="1"/>
  <c r="AC11" i="15" s="1"/>
  <c r="H5" i="18"/>
  <c r="I5" i="18" s="1"/>
  <c r="J5" i="18" s="1"/>
  <c r="F12" i="8" l="1"/>
  <c r="D14" i="2"/>
  <c r="D15" i="2"/>
  <c r="L17" i="2"/>
  <c r="H8" i="18"/>
  <c r="E11" i="16"/>
  <c r="F11" i="16" s="1"/>
  <c r="G11" i="16" s="1"/>
  <c r="H11" i="16" s="1"/>
  <c r="I11" i="16" s="1"/>
  <c r="J11" i="16" s="1"/>
  <c r="K11" i="16" s="1"/>
  <c r="L11" i="16" s="1"/>
  <c r="M11" i="16" s="1"/>
  <c r="N11" i="16" s="1"/>
  <c r="O11" i="16" s="1"/>
  <c r="P11" i="16" s="1"/>
  <c r="Q11" i="16" s="1"/>
  <c r="R11" i="16" s="1"/>
  <c r="S11" i="16" s="1"/>
  <c r="T11" i="16" s="1"/>
  <c r="U11" i="16" s="1"/>
  <c r="V11" i="16" s="1"/>
  <c r="W11" i="16" s="1"/>
  <c r="X11" i="16" s="1"/>
  <c r="Y11" i="16" s="1"/>
  <c r="Z11" i="16" s="1"/>
  <c r="AA11" i="16" s="1"/>
  <c r="AB11" i="16" s="1"/>
  <c r="AC11" i="16" s="1"/>
  <c r="H7" i="18"/>
  <c r="I7" i="18" s="1"/>
  <c r="J7" i="18" s="1"/>
  <c r="E10" i="15"/>
  <c r="F10" i="15" s="1"/>
  <c r="G10" i="15" s="1"/>
  <c r="H10" i="15" s="1"/>
  <c r="I10" i="15" s="1"/>
  <c r="J10" i="15" s="1"/>
  <c r="K10" i="15" s="1"/>
  <c r="L10" i="15" s="1"/>
  <c r="M10" i="15" s="1"/>
  <c r="N10" i="15" s="1"/>
  <c r="O10" i="15" s="1"/>
  <c r="P10" i="15" s="1"/>
  <c r="Q10" i="15" s="1"/>
  <c r="R10" i="15" s="1"/>
  <c r="S10" i="15" s="1"/>
  <c r="T10" i="15" s="1"/>
  <c r="U10" i="15" s="1"/>
  <c r="V10" i="15" s="1"/>
  <c r="W10" i="15" s="1"/>
  <c r="X10" i="15" s="1"/>
  <c r="Y10" i="15" s="1"/>
  <c r="Z10" i="15" s="1"/>
  <c r="AA10" i="15" s="1"/>
  <c r="AB10" i="15" s="1"/>
  <c r="AC10" i="15" s="1"/>
  <c r="M13" i="2" l="1"/>
  <c r="F10" i="8"/>
  <c r="G10" i="8" s="1"/>
  <c r="E3" i="15"/>
  <c r="N16" i="2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G12" i="8"/>
  <c r="I8" i="18"/>
  <c r="J8" i="18" s="1"/>
  <c r="E3" i="14"/>
  <c r="F3" i="14" s="1"/>
  <c r="G3" i="14" s="1"/>
  <c r="H3" i="14" s="1"/>
  <c r="I3" i="14" s="1"/>
  <c r="J3" i="14" s="1"/>
  <c r="K3" i="14" s="1"/>
  <c r="L3" i="14" s="1"/>
  <c r="M3" i="14" s="1"/>
  <c r="N3" i="14" s="1"/>
  <c r="O3" i="14" s="1"/>
  <c r="P3" i="14" s="1"/>
  <c r="Q3" i="14" s="1"/>
  <c r="R3" i="14" s="1"/>
  <c r="S3" i="14" s="1"/>
  <c r="T3" i="14" s="1"/>
  <c r="U3" i="14" s="1"/>
  <c r="V3" i="14" s="1"/>
  <c r="W3" i="14" s="1"/>
  <c r="X3" i="14" s="1"/>
  <c r="Y3" i="14" s="1"/>
  <c r="Z3" i="14" s="1"/>
  <c r="AA3" i="14" s="1"/>
  <c r="AB3" i="14" s="1"/>
  <c r="AC3" i="14" s="1"/>
  <c r="E10" i="14"/>
  <c r="F10" i="14" s="1"/>
  <c r="G10" i="14" s="1"/>
  <c r="H10" i="14" s="1"/>
  <c r="I10" i="14" s="1"/>
  <c r="J10" i="14" s="1"/>
  <c r="K10" i="14" s="1"/>
  <c r="L10" i="14" s="1"/>
  <c r="M10" i="14" s="1"/>
  <c r="N10" i="14" s="1"/>
  <c r="O10" i="14" s="1"/>
  <c r="P10" i="14" s="1"/>
  <c r="Q10" i="14" s="1"/>
  <c r="R10" i="14" s="1"/>
  <c r="S10" i="14" s="1"/>
  <c r="T10" i="14" s="1"/>
  <c r="U10" i="14" s="1"/>
  <c r="V10" i="14" s="1"/>
  <c r="W10" i="14" s="1"/>
  <c r="X10" i="14" s="1"/>
  <c r="Y10" i="14" s="1"/>
  <c r="Z10" i="14" s="1"/>
  <c r="AA10" i="14" s="1"/>
  <c r="AB10" i="14" s="1"/>
  <c r="AC10" i="14" s="1"/>
  <c r="H12" i="8" l="1"/>
  <c r="H10" i="8"/>
  <c r="E31" i="17"/>
  <c r="E32" i="17" s="1"/>
  <c r="E33" i="17" s="1"/>
  <c r="AC23" i="17"/>
  <c r="AB23" i="17"/>
  <c r="AA23" i="17"/>
  <c r="Z23" i="17"/>
  <c r="Y23" i="17"/>
  <c r="X23" i="17"/>
  <c r="W23" i="17"/>
  <c r="V23" i="17"/>
  <c r="U23" i="17"/>
  <c r="T23" i="17"/>
  <c r="S23" i="17"/>
  <c r="R23" i="17"/>
  <c r="Q23" i="17"/>
  <c r="P23" i="17"/>
  <c r="O23" i="17"/>
  <c r="N23" i="17"/>
  <c r="M23" i="17"/>
  <c r="L23" i="17"/>
  <c r="K23" i="17"/>
  <c r="J23" i="17"/>
  <c r="I23" i="17"/>
  <c r="H23" i="17"/>
  <c r="G23" i="17"/>
  <c r="F23" i="17"/>
  <c r="E23" i="17"/>
  <c r="D23" i="17"/>
  <c r="AC20" i="17"/>
  <c r="AC21" i="17" s="1"/>
  <c r="AB20" i="17"/>
  <c r="AB21" i="17" s="1"/>
  <c r="AA20" i="17"/>
  <c r="AA21" i="17" s="1"/>
  <c r="Z20" i="17"/>
  <c r="Z21" i="17" s="1"/>
  <c r="Y20" i="17"/>
  <c r="Y21" i="17" s="1"/>
  <c r="X20" i="17"/>
  <c r="X21" i="17" s="1"/>
  <c r="W20" i="17"/>
  <c r="W21" i="17" s="1"/>
  <c r="V20" i="17"/>
  <c r="V21" i="17" s="1"/>
  <c r="U20" i="17"/>
  <c r="U21" i="17" s="1"/>
  <c r="T20" i="17"/>
  <c r="T21" i="17" s="1"/>
  <c r="AC10" i="17"/>
  <c r="AB10" i="17"/>
  <c r="AA10" i="17"/>
  <c r="Z10" i="17"/>
  <c r="Y10" i="17"/>
  <c r="X10" i="17"/>
  <c r="W10" i="17"/>
  <c r="V10" i="17"/>
  <c r="U10" i="17"/>
  <c r="T10" i="17"/>
  <c r="S10" i="17"/>
  <c r="R10" i="17"/>
  <c r="Q10" i="17"/>
  <c r="P10" i="17"/>
  <c r="O10" i="17"/>
  <c r="N10" i="17"/>
  <c r="M10" i="17"/>
  <c r="L10" i="17"/>
  <c r="K10" i="17"/>
  <c r="J10" i="17"/>
  <c r="I10" i="17"/>
  <c r="H10" i="17"/>
  <c r="G10" i="17"/>
  <c r="F10" i="17"/>
  <c r="E10" i="17"/>
  <c r="F3" i="16"/>
  <c r="G3" i="16" s="1"/>
  <c r="H3" i="16" s="1"/>
  <c r="I3" i="16" s="1"/>
  <c r="J3" i="16" s="1"/>
  <c r="K3" i="16" s="1"/>
  <c r="L3" i="16" s="1"/>
  <c r="M3" i="16" s="1"/>
  <c r="N3" i="16" s="1"/>
  <c r="O3" i="16" s="1"/>
  <c r="P3" i="16" s="1"/>
  <c r="Q3" i="16" s="1"/>
  <c r="R3" i="16" s="1"/>
  <c r="S3" i="16" s="1"/>
  <c r="T3" i="16" s="1"/>
  <c r="U3" i="16" s="1"/>
  <c r="V3" i="16" s="1"/>
  <c r="W3" i="16" s="1"/>
  <c r="X3" i="16" s="1"/>
  <c r="Y3" i="16" s="1"/>
  <c r="Z3" i="16" s="1"/>
  <c r="AA3" i="16" s="1"/>
  <c r="AB3" i="16" s="1"/>
  <c r="AC3" i="16" s="1"/>
  <c r="E31" i="16"/>
  <c r="E32" i="16" s="1"/>
  <c r="E33" i="16" s="1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AC20" i="16"/>
  <c r="AC21" i="16" s="1"/>
  <c r="AB20" i="16"/>
  <c r="AB21" i="16" s="1"/>
  <c r="AA20" i="16"/>
  <c r="AA21" i="16" s="1"/>
  <c r="Z20" i="16"/>
  <c r="Z21" i="16" s="1"/>
  <c r="Y20" i="16"/>
  <c r="Y21" i="16" s="1"/>
  <c r="X20" i="16"/>
  <c r="X21" i="16" s="1"/>
  <c r="W20" i="16"/>
  <c r="W21" i="16" s="1"/>
  <c r="V20" i="16"/>
  <c r="V21" i="16" s="1"/>
  <c r="U20" i="16"/>
  <c r="U21" i="16" s="1"/>
  <c r="T20" i="16"/>
  <c r="T21" i="16" s="1"/>
  <c r="F3" i="15"/>
  <c r="G3" i="15" s="1"/>
  <c r="H3" i="15" s="1"/>
  <c r="I3" i="15" s="1"/>
  <c r="J3" i="15" s="1"/>
  <c r="K3" i="15" s="1"/>
  <c r="L3" i="15" s="1"/>
  <c r="M3" i="15" s="1"/>
  <c r="N3" i="15" s="1"/>
  <c r="O3" i="15" s="1"/>
  <c r="P3" i="15" s="1"/>
  <c r="Q3" i="15" s="1"/>
  <c r="R3" i="15" s="1"/>
  <c r="S3" i="15" s="1"/>
  <c r="T3" i="15" s="1"/>
  <c r="U3" i="15" s="1"/>
  <c r="V3" i="15" s="1"/>
  <c r="W3" i="15" s="1"/>
  <c r="X3" i="15" s="1"/>
  <c r="Y3" i="15" s="1"/>
  <c r="Z3" i="15" s="1"/>
  <c r="AA3" i="15" s="1"/>
  <c r="AB3" i="15" s="1"/>
  <c r="AC3" i="15" s="1"/>
  <c r="E31" i="15"/>
  <c r="E32" i="15" s="1"/>
  <c r="AC23" i="15"/>
  <c r="AB23" i="15"/>
  <c r="AA23" i="15"/>
  <c r="Z23" i="15"/>
  <c r="Y23" i="15"/>
  <c r="X23" i="15"/>
  <c r="W23" i="15"/>
  <c r="V23" i="15"/>
  <c r="U23" i="15"/>
  <c r="T23" i="15"/>
  <c r="S23" i="15"/>
  <c r="R23" i="15"/>
  <c r="Q23" i="15"/>
  <c r="P23" i="15"/>
  <c r="O23" i="15"/>
  <c r="N23" i="15"/>
  <c r="M23" i="15"/>
  <c r="L23" i="15"/>
  <c r="K23" i="15"/>
  <c r="J23" i="15"/>
  <c r="I23" i="15"/>
  <c r="H23" i="15"/>
  <c r="G23" i="15"/>
  <c r="F23" i="15"/>
  <c r="E23" i="15"/>
  <c r="D23" i="15"/>
  <c r="AC20" i="15"/>
  <c r="AC21" i="15" s="1"/>
  <c r="AB20" i="15"/>
  <c r="AB21" i="15" s="1"/>
  <c r="AA20" i="15"/>
  <c r="AA21" i="15" s="1"/>
  <c r="Z20" i="15"/>
  <c r="Z21" i="15" s="1"/>
  <c r="Y20" i="15"/>
  <c r="Y21" i="15" s="1"/>
  <c r="X20" i="15"/>
  <c r="X21" i="15" s="1"/>
  <c r="W20" i="15"/>
  <c r="W21" i="15" s="1"/>
  <c r="V20" i="15"/>
  <c r="V21" i="15" s="1"/>
  <c r="U20" i="15"/>
  <c r="U21" i="15" s="1"/>
  <c r="T20" i="15"/>
  <c r="T21" i="15" s="1"/>
  <c r="E31" i="14"/>
  <c r="E32" i="14" s="1"/>
  <c r="AC23" i="14"/>
  <c r="AB23" i="14"/>
  <c r="AA23" i="14"/>
  <c r="Z23" i="14"/>
  <c r="Y23" i="14"/>
  <c r="X23" i="14"/>
  <c r="W23" i="14"/>
  <c r="V23" i="14"/>
  <c r="U23" i="14"/>
  <c r="T23" i="14"/>
  <c r="S23" i="14"/>
  <c r="R23" i="14"/>
  <c r="Q23" i="14"/>
  <c r="P23" i="14"/>
  <c r="O23" i="14"/>
  <c r="N23" i="14"/>
  <c r="M23" i="14"/>
  <c r="L23" i="14"/>
  <c r="K23" i="14"/>
  <c r="J23" i="14"/>
  <c r="I23" i="14"/>
  <c r="H23" i="14"/>
  <c r="G23" i="14"/>
  <c r="F23" i="14"/>
  <c r="E23" i="14"/>
  <c r="D23" i="14"/>
  <c r="AC20" i="14"/>
  <c r="AC21" i="14" s="1"/>
  <c r="AB20" i="14"/>
  <c r="AB21" i="14" s="1"/>
  <c r="AA20" i="14"/>
  <c r="AA21" i="14" s="1"/>
  <c r="Z20" i="14"/>
  <c r="Z21" i="14" s="1"/>
  <c r="Y20" i="14"/>
  <c r="Y21" i="14" s="1"/>
  <c r="X20" i="14"/>
  <c r="X21" i="14" s="1"/>
  <c r="W20" i="14"/>
  <c r="W21" i="14" s="1"/>
  <c r="V20" i="14"/>
  <c r="V21" i="14" s="1"/>
  <c r="U20" i="14"/>
  <c r="U21" i="14" s="1"/>
  <c r="T20" i="14"/>
  <c r="T21" i="14" s="1"/>
  <c r="F3" i="17"/>
  <c r="G3" i="17" s="1"/>
  <c r="H3" i="17" s="1"/>
  <c r="I3" i="17" s="1"/>
  <c r="J3" i="17" s="1"/>
  <c r="K3" i="17" s="1"/>
  <c r="L3" i="17" s="1"/>
  <c r="M3" i="17" s="1"/>
  <c r="N3" i="17" s="1"/>
  <c r="O3" i="17" s="1"/>
  <c r="P3" i="17" s="1"/>
  <c r="Q3" i="17" s="1"/>
  <c r="R3" i="17" s="1"/>
  <c r="S3" i="17" s="1"/>
  <c r="T3" i="17" s="1"/>
  <c r="U3" i="17" s="1"/>
  <c r="V3" i="17" s="1"/>
  <c r="W3" i="17" s="1"/>
  <c r="X3" i="17" s="1"/>
  <c r="Y3" i="17" s="1"/>
  <c r="Z3" i="17" s="1"/>
  <c r="AA3" i="17" s="1"/>
  <c r="AB3" i="17" s="1"/>
  <c r="AC3" i="17" s="1"/>
  <c r="E71" i="12"/>
  <c r="F71" i="12" s="1"/>
  <c r="E70" i="12"/>
  <c r="E54" i="12"/>
  <c r="K6" i="12" s="1"/>
  <c r="E38" i="12"/>
  <c r="K5" i="12" s="1"/>
  <c r="E22" i="12"/>
  <c r="K4" i="12" s="1"/>
  <c r="F74" i="12"/>
  <c r="F73" i="12"/>
  <c r="F72" i="12"/>
  <c r="F57" i="12"/>
  <c r="F56" i="12"/>
  <c r="F55" i="12"/>
  <c r="F41" i="12"/>
  <c r="F40" i="12"/>
  <c r="F39" i="12"/>
  <c r="F25" i="12"/>
  <c r="F24" i="12"/>
  <c r="F23" i="12"/>
  <c r="F7" i="12"/>
  <c r="F8" i="12"/>
  <c r="F9" i="12"/>
  <c r="F10" i="12"/>
  <c r="F6" i="12"/>
  <c r="K7" i="12" l="1"/>
  <c r="F70" i="12"/>
  <c r="F22" i="12"/>
  <c r="F38" i="12"/>
  <c r="F54" i="12"/>
  <c r="I10" i="8"/>
  <c r="I12" i="8"/>
  <c r="E34" i="17"/>
  <c r="E34" i="16"/>
  <c r="E33" i="15"/>
  <c r="E33" i="14"/>
  <c r="J12" i="8" l="1"/>
  <c r="J10" i="8"/>
  <c r="E35" i="17"/>
  <c r="E35" i="16"/>
  <c r="E34" i="15"/>
  <c r="E34" i="14"/>
  <c r="E8" i="1"/>
  <c r="F8" i="1" s="1"/>
  <c r="E5" i="1"/>
  <c r="F5" i="1" s="1"/>
  <c r="E4" i="1"/>
  <c r="F4" i="1" s="1"/>
  <c r="V29" i="3"/>
  <c r="W29" i="3" s="1"/>
  <c r="K10" i="8" l="1"/>
  <c r="K12" i="8"/>
  <c r="E36" i="17"/>
  <c r="E36" i="16"/>
  <c r="E35" i="15"/>
  <c r="E36" i="15" s="1"/>
  <c r="E37" i="15" s="1"/>
  <c r="E38" i="15" s="1"/>
  <c r="E39" i="15" s="1"/>
  <c r="E40" i="15" s="1"/>
  <c r="E35" i="14"/>
  <c r="E6" i="1"/>
  <c r="F6" i="1" s="1"/>
  <c r="E7" i="1"/>
  <c r="F7" i="1" s="1"/>
  <c r="L12" i="8" l="1"/>
  <c r="L10" i="8"/>
  <c r="E37" i="17"/>
  <c r="E37" i="16"/>
  <c r="E41" i="15"/>
  <c r="E42" i="15" s="1"/>
  <c r="E43" i="15" s="1"/>
  <c r="E44" i="15" s="1"/>
  <c r="E45" i="15" s="1"/>
  <c r="E46" i="15" s="1"/>
  <c r="E47" i="15" s="1"/>
  <c r="F9" i="1"/>
  <c r="F10" i="1" s="1"/>
  <c r="F14" i="1" l="1"/>
  <c r="G14" i="1" s="1"/>
  <c r="E36" i="12"/>
  <c r="M10" i="8"/>
  <c r="M12" i="8"/>
  <c r="E38" i="17"/>
  <c r="E38" i="16"/>
  <c r="E48" i="15"/>
  <c r="E68" i="12"/>
  <c r="F68" i="12" s="1"/>
  <c r="F76" i="12" s="1"/>
  <c r="L7" i="12" s="1"/>
  <c r="O7" i="12" s="1"/>
  <c r="E52" i="12"/>
  <c r="F52" i="12" s="1"/>
  <c r="F59" i="12" s="1"/>
  <c r="L6" i="12" s="1"/>
  <c r="O6" i="12" s="1"/>
  <c r="F36" i="12"/>
  <c r="F43" i="12" s="1"/>
  <c r="L5" i="12" s="1"/>
  <c r="O5" i="12" s="1"/>
  <c r="E20" i="12"/>
  <c r="F20" i="12" s="1"/>
  <c r="F27" i="12" s="1"/>
  <c r="L4" i="12" s="1"/>
  <c r="O4" i="12" s="1"/>
  <c r="E4" i="12"/>
  <c r="F4" i="12" s="1"/>
  <c r="M24" i="12" l="1"/>
  <c r="F11" i="12"/>
  <c r="L3" i="12" s="1"/>
  <c r="N12" i="8"/>
  <c r="N10" i="8"/>
  <c r="E39" i="17"/>
  <c r="E39" i="16"/>
  <c r="E49" i="15"/>
  <c r="K25" i="12"/>
  <c r="L25" i="12"/>
  <c r="M25" i="12"/>
  <c r="N25" i="12"/>
  <c r="N27" i="12"/>
  <c r="L27" i="12"/>
  <c r="M27" i="12"/>
  <c r="K27" i="12"/>
  <c r="M28" i="12"/>
  <c r="L28" i="12"/>
  <c r="K28" i="12"/>
  <c r="N28" i="12"/>
  <c r="L24" i="12"/>
  <c r="N24" i="12"/>
  <c r="K24" i="12"/>
  <c r="N26" i="12"/>
  <c r="L26" i="12"/>
  <c r="M26" i="12"/>
  <c r="K26" i="12"/>
  <c r="Q3" i="12" l="1"/>
  <c r="O3" i="12"/>
  <c r="Q5" i="12"/>
  <c r="Q4" i="12"/>
  <c r="D4" i="8"/>
  <c r="O10" i="8"/>
  <c r="O12" i="8"/>
  <c r="E18" i="17"/>
  <c r="F18" i="17"/>
  <c r="D19" i="16"/>
  <c r="D19" i="17"/>
  <c r="D18" i="17"/>
  <c r="H17" i="16"/>
  <c r="H20" i="16" s="1"/>
  <c r="H21" i="16" s="1"/>
  <c r="N17" i="16"/>
  <c r="N20" i="16" s="1"/>
  <c r="N21" i="16" s="1"/>
  <c r="D17" i="16"/>
  <c r="I17" i="16"/>
  <c r="I20" i="16" s="1"/>
  <c r="I21" i="16" s="1"/>
  <c r="O17" i="16"/>
  <c r="O20" i="16" s="1"/>
  <c r="O21" i="16" s="1"/>
  <c r="G17" i="16"/>
  <c r="G20" i="16" s="1"/>
  <c r="G21" i="16" s="1"/>
  <c r="J17" i="16"/>
  <c r="J20" i="16" s="1"/>
  <c r="J21" i="16" s="1"/>
  <c r="P17" i="16"/>
  <c r="P20" i="16" s="1"/>
  <c r="P21" i="16" s="1"/>
  <c r="S17" i="16"/>
  <c r="S20" i="16" s="1"/>
  <c r="S21" i="16" s="1"/>
  <c r="E17" i="16"/>
  <c r="K17" i="16"/>
  <c r="K20" i="16" s="1"/>
  <c r="K21" i="16" s="1"/>
  <c r="Q17" i="16"/>
  <c r="Q20" i="16" s="1"/>
  <c r="Q21" i="16" s="1"/>
  <c r="F17" i="16"/>
  <c r="L17" i="16"/>
  <c r="L20" i="16" s="1"/>
  <c r="L21" i="16" s="1"/>
  <c r="R17" i="16"/>
  <c r="R20" i="16" s="1"/>
  <c r="R21" i="16" s="1"/>
  <c r="M17" i="16"/>
  <c r="M20" i="16" s="1"/>
  <c r="M21" i="16" s="1"/>
  <c r="D8" i="14"/>
  <c r="D9" i="14" s="1"/>
  <c r="F30" i="12"/>
  <c r="F29" i="12"/>
  <c r="E13" i="14" s="1"/>
  <c r="F13" i="14" s="1"/>
  <c r="G13" i="14" s="1"/>
  <c r="H13" i="14" s="1"/>
  <c r="I13" i="14" s="1"/>
  <c r="J13" i="14" s="1"/>
  <c r="K13" i="14" s="1"/>
  <c r="L13" i="14" s="1"/>
  <c r="M13" i="14" s="1"/>
  <c r="N13" i="14" s="1"/>
  <c r="O13" i="14" s="1"/>
  <c r="P13" i="14" s="1"/>
  <c r="Q13" i="14" s="1"/>
  <c r="R13" i="14" s="1"/>
  <c r="S13" i="14" s="1"/>
  <c r="T13" i="14" s="1"/>
  <c r="U13" i="14" s="1"/>
  <c r="V13" i="14" s="1"/>
  <c r="W13" i="14" s="1"/>
  <c r="X13" i="14" s="1"/>
  <c r="Y13" i="14" s="1"/>
  <c r="Z13" i="14" s="1"/>
  <c r="AA13" i="14" s="1"/>
  <c r="AB13" i="14" s="1"/>
  <c r="AC13" i="14" s="1"/>
  <c r="F28" i="12"/>
  <c r="D12" i="14" s="1"/>
  <c r="E12" i="14" s="1"/>
  <c r="E17" i="14"/>
  <c r="K17" i="14"/>
  <c r="K20" i="14" s="1"/>
  <c r="K21" i="14" s="1"/>
  <c r="Q17" i="14"/>
  <c r="Q20" i="14" s="1"/>
  <c r="Q21" i="14" s="1"/>
  <c r="F17" i="14"/>
  <c r="L17" i="14"/>
  <c r="L20" i="14" s="1"/>
  <c r="L21" i="14" s="1"/>
  <c r="R17" i="14"/>
  <c r="R20" i="14" s="1"/>
  <c r="R21" i="14" s="1"/>
  <c r="G17" i="14"/>
  <c r="G20" i="14" s="1"/>
  <c r="G21" i="14" s="1"/>
  <c r="M17" i="14"/>
  <c r="M20" i="14" s="1"/>
  <c r="M21" i="14" s="1"/>
  <c r="S17" i="14"/>
  <c r="S20" i="14" s="1"/>
  <c r="S21" i="14" s="1"/>
  <c r="J17" i="14"/>
  <c r="J20" i="14" s="1"/>
  <c r="J21" i="14" s="1"/>
  <c r="H17" i="14"/>
  <c r="H20" i="14" s="1"/>
  <c r="H21" i="14" s="1"/>
  <c r="N17" i="14"/>
  <c r="N20" i="14" s="1"/>
  <c r="N21" i="14" s="1"/>
  <c r="D17" i="14"/>
  <c r="P17" i="14"/>
  <c r="P20" i="14" s="1"/>
  <c r="P21" i="14" s="1"/>
  <c r="I17" i="14"/>
  <c r="I20" i="14" s="1"/>
  <c r="I21" i="14" s="1"/>
  <c r="O17" i="14"/>
  <c r="O20" i="14" s="1"/>
  <c r="O21" i="14" s="1"/>
  <c r="E18" i="15"/>
  <c r="F18" i="15"/>
  <c r="D18" i="15"/>
  <c r="D18" i="14"/>
  <c r="E18" i="14"/>
  <c r="F18" i="14"/>
  <c r="F20" i="14" s="1"/>
  <c r="F21" i="14" s="1"/>
  <c r="G17" i="15"/>
  <c r="G20" i="15" s="1"/>
  <c r="G21" i="15" s="1"/>
  <c r="M17" i="15"/>
  <c r="M20" i="15" s="1"/>
  <c r="M21" i="15" s="1"/>
  <c r="S17" i="15"/>
  <c r="S20" i="15" s="1"/>
  <c r="S21" i="15" s="1"/>
  <c r="H17" i="15"/>
  <c r="H20" i="15" s="1"/>
  <c r="H21" i="15" s="1"/>
  <c r="N17" i="15"/>
  <c r="N20" i="15" s="1"/>
  <c r="N21" i="15" s="1"/>
  <c r="D17" i="15"/>
  <c r="F17" i="15"/>
  <c r="I17" i="15"/>
  <c r="I20" i="15" s="1"/>
  <c r="I21" i="15" s="1"/>
  <c r="O17" i="15"/>
  <c r="O20" i="15" s="1"/>
  <c r="O21" i="15" s="1"/>
  <c r="L17" i="15"/>
  <c r="L20" i="15" s="1"/>
  <c r="L21" i="15" s="1"/>
  <c r="J17" i="15"/>
  <c r="J20" i="15" s="1"/>
  <c r="J21" i="15" s="1"/>
  <c r="P17" i="15"/>
  <c r="P20" i="15" s="1"/>
  <c r="P21" i="15" s="1"/>
  <c r="R17" i="15"/>
  <c r="R20" i="15" s="1"/>
  <c r="R21" i="15" s="1"/>
  <c r="E17" i="15"/>
  <c r="K17" i="15"/>
  <c r="K20" i="15" s="1"/>
  <c r="K21" i="15" s="1"/>
  <c r="Q17" i="15"/>
  <c r="Q20" i="15" s="1"/>
  <c r="Q21" i="15" s="1"/>
  <c r="F18" i="16"/>
  <c r="D18" i="16"/>
  <c r="E18" i="16"/>
  <c r="F13" i="12"/>
  <c r="F14" i="12"/>
  <c r="F12" i="12"/>
  <c r="G17" i="17"/>
  <c r="G20" i="17" s="1"/>
  <c r="G21" i="17" s="1"/>
  <c r="M17" i="17"/>
  <c r="M20" i="17" s="1"/>
  <c r="M21" i="17" s="1"/>
  <c r="S17" i="17"/>
  <c r="S20" i="17" s="1"/>
  <c r="S21" i="17" s="1"/>
  <c r="L17" i="17"/>
  <c r="L20" i="17" s="1"/>
  <c r="L21" i="17" s="1"/>
  <c r="H17" i="17"/>
  <c r="H20" i="17" s="1"/>
  <c r="H21" i="17" s="1"/>
  <c r="N17" i="17"/>
  <c r="N20" i="17" s="1"/>
  <c r="N21" i="17" s="1"/>
  <c r="D17" i="17"/>
  <c r="I17" i="17"/>
  <c r="I20" i="17" s="1"/>
  <c r="I21" i="17" s="1"/>
  <c r="O17" i="17"/>
  <c r="O20" i="17" s="1"/>
  <c r="O21" i="17" s="1"/>
  <c r="J17" i="17"/>
  <c r="J20" i="17" s="1"/>
  <c r="J21" i="17" s="1"/>
  <c r="P17" i="17"/>
  <c r="P20" i="17" s="1"/>
  <c r="P21" i="17" s="1"/>
  <c r="E17" i="17"/>
  <c r="K17" i="17"/>
  <c r="K20" i="17" s="1"/>
  <c r="K21" i="17" s="1"/>
  <c r="Q17" i="17"/>
  <c r="Q20" i="17" s="1"/>
  <c r="Q21" i="17" s="1"/>
  <c r="F17" i="17"/>
  <c r="R17" i="17"/>
  <c r="R20" i="17" s="1"/>
  <c r="R21" i="17" s="1"/>
  <c r="F79" i="12"/>
  <c r="F78" i="12"/>
  <c r="F77" i="12"/>
  <c r="D12" i="17" s="1"/>
  <c r="E12" i="17" s="1"/>
  <c r="E40" i="17"/>
  <c r="F46" i="12"/>
  <c r="F45" i="12"/>
  <c r="F44" i="12"/>
  <c r="F62" i="12"/>
  <c r="F61" i="12"/>
  <c r="F60" i="12"/>
  <c r="D12" i="16" s="1"/>
  <c r="E40" i="16"/>
  <c r="E50" i="15"/>
  <c r="E51" i="15" s="1"/>
  <c r="E52" i="15" s="1"/>
  <c r="E53" i="15" s="1"/>
  <c r="E54" i="15" s="1"/>
  <c r="E55" i="15" s="1"/>
  <c r="E56" i="15" s="1"/>
  <c r="E57" i="15" s="1"/>
  <c r="E58" i="15" s="1"/>
  <c r="E59" i="15" s="1"/>
  <c r="E60" i="15" s="1"/>
  <c r="E61" i="15" s="1"/>
  <c r="E62" i="15" s="1"/>
  <c r="E63" i="15" s="1"/>
  <c r="E64" i="15" s="1"/>
  <c r="E65" i="15" s="1"/>
  <c r="E66" i="15" s="1"/>
  <c r="E67" i="15" s="1"/>
  <c r="E68" i="15" s="1"/>
  <c r="E69" i="15" s="1"/>
  <c r="E70" i="15" s="1"/>
  <c r="E71" i="15" s="1"/>
  <c r="E72" i="15" s="1"/>
  <c r="E73" i="15" s="1"/>
  <c r="Q6" i="12" l="1"/>
  <c r="D13" i="2" s="1"/>
  <c r="Q7" i="12"/>
  <c r="E22" i="8"/>
  <c r="E15" i="8"/>
  <c r="E21" i="8"/>
  <c r="D10" i="2"/>
  <c r="F47" i="12"/>
  <c r="E13" i="17"/>
  <c r="F13" i="17" s="1"/>
  <c r="G13" i="17" s="1"/>
  <c r="H13" i="17" s="1"/>
  <c r="I13" i="17" s="1"/>
  <c r="J13" i="17" s="1"/>
  <c r="K13" i="17" s="1"/>
  <c r="L13" i="17" s="1"/>
  <c r="M13" i="17" s="1"/>
  <c r="N13" i="17" s="1"/>
  <c r="O13" i="17" s="1"/>
  <c r="P13" i="17" s="1"/>
  <c r="Q13" i="17" s="1"/>
  <c r="R13" i="17" s="1"/>
  <c r="S13" i="17" s="1"/>
  <c r="T13" i="17" s="1"/>
  <c r="U13" i="17" s="1"/>
  <c r="V13" i="17" s="1"/>
  <c r="W13" i="17" s="1"/>
  <c r="X13" i="17" s="1"/>
  <c r="Y13" i="17" s="1"/>
  <c r="Z13" i="17" s="1"/>
  <c r="AA13" i="17" s="1"/>
  <c r="AB13" i="17" s="1"/>
  <c r="AC13" i="17" s="1"/>
  <c r="P12" i="8"/>
  <c r="P10" i="8"/>
  <c r="D20" i="15"/>
  <c r="D21" i="15" s="1"/>
  <c r="F20" i="17"/>
  <c r="F21" i="17" s="1"/>
  <c r="E20" i="14"/>
  <c r="E21" i="14" s="1"/>
  <c r="F63" i="12"/>
  <c r="D20" i="14"/>
  <c r="D21" i="14" s="1"/>
  <c r="D20" i="16"/>
  <c r="D21" i="16" s="1"/>
  <c r="E13" i="16"/>
  <c r="F13" i="16" s="1"/>
  <c r="G13" i="16" s="1"/>
  <c r="H13" i="16" s="1"/>
  <c r="I13" i="16" s="1"/>
  <c r="J13" i="16" s="1"/>
  <c r="K13" i="16" s="1"/>
  <c r="L13" i="16" s="1"/>
  <c r="M13" i="16" s="1"/>
  <c r="N13" i="16" s="1"/>
  <c r="O13" i="16" s="1"/>
  <c r="P13" i="16" s="1"/>
  <c r="Q13" i="16" s="1"/>
  <c r="R13" i="16" s="1"/>
  <c r="S13" i="16" s="1"/>
  <c r="T13" i="16" s="1"/>
  <c r="U13" i="16" s="1"/>
  <c r="V13" i="16" s="1"/>
  <c r="W13" i="16" s="1"/>
  <c r="X13" i="16" s="1"/>
  <c r="Y13" i="16" s="1"/>
  <c r="Z13" i="16" s="1"/>
  <c r="AA13" i="16" s="1"/>
  <c r="AB13" i="16" s="1"/>
  <c r="AC13" i="16" s="1"/>
  <c r="E16" i="14"/>
  <c r="F12" i="14"/>
  <c r="E20" i="17"/>
  <c r="E21" i="17" s="1"/>
  <c r="F20" i="16"/>
  <c r="F21" i="16" s="1"/>
  <c r="E20" i="15"/>
  <c r="E21" i="15" s="1"/>
  <c r="D20" i="17"/>
  <c r="D21" i="17" s="1"/>
  <c r="F12" i="17"/>
  <c r="E20" i="16"/>
  <c r="E21" i="16" s="1"/>
  <c r="F20" i="15"/>
  <c r="F21" i="15" s="1"/>
  <c r="D16" i="14"/>
  <c r="E41" i="17"/>
  <c r="E12" i="16"/>
  <c r="D12" i="15"/>
  <c r="E12" i="15" s="1"/>
  <c r="E13" i="15"/>
  <c r="F13" i="15" s="1"/>
  <c r="G13" i="15" s="1"/>
  <c r="H13" i="15" s="1"/>
  <c r="I13" i="15" s="1"/>
  <c r="J13" i="15" s="1"/>
  <c r="K13" i="15" s="1"/>
  <c r="L13" i="15" s="1"/>
  <c r="M13" i="15" s="1"/>
  <c r="N13" i="15" s="1"/>
  <c r="O13" i="15" s="1"/>
  <c r="P13" i="15" s="1"/>
  <c r="Q13" i="15" s="1"/>
  <c r="R13" i="15" s="1"/>
  <c r="S13" i="15" s="1"/>
  <c r="T13" i="15" s="1"/>
  <c r="U13" i="15" s="1"/>
  <c r="V13" i="15" s="1"/>
  <c r="W13" i="15" s="1"/>
  <c r="X13" i="15" s="1"/>
  <c r="Y13" i="15" s="1"/>
  <c r="Z13" i="15" s="1"/>
  <c r="AA13" i="15" s="1"/>
  <c r="AB13" i="15" s="1"/>
  <c r="AC13" i="15" s="1"/>
  <c r="E41" i="16"/>
  <c r="F31" i="12"/>
  <c r="F80" i="12"/>
  <c r="F15" i="12"/>
  <c r="N3" i="12" s="1"/>
  <c r="P3" i="12" s="1"/>
  <c r="E16" i="17" l="1"/>
  <c r="E24" i="8"/>
  <c r="E25" i="8" s="1"/>
  <c r="L10" i="2"/>
  <c r="M11" i="2"/>
  <c r="F32" i="12"/>
  <c r="N4" i="12"/>
  <c r="P4" i="12" s="1"/>
  <c r="F64" i="12"/>
  <c r="D8" i="16" s="1"/>
  <c r="D9" i="16" s="1"/>
  <c r="D16" i="16" s="1"/>
  <c r="N6" i="12"/>
  <c r="P6" i="12" s="1"/>
  <c r="F81" i="12"/>
  <c r="D8" i="17" s="1"/>
  <c r="D9" i="17" s="1"/>
  <c r="D16" i="17" s="1"/>
  <c r="N7" i="12"/>
  <c r="P7" i="12" s="1"/>
  <c r="F48" i="12"/>
  <c r="D8" i="15" s="1"/>
  <c r="D9" i="15" s="1"/>
  <c r="D16" i="15" s="1"/>
  <c r="N5" i="12"/>
  <c r="P5" i="12" s="1"/>
  <c r="D25" i="14"/>
  <c r="F16" i="12"/>
  <c r="L14" i="2"/>
  <c r="L21" i="2"/>
  <c r="Q10" i="8"/>
  <c r="Q12" i="8"/>
  <c r="D25" i="17"/>
  <c r="F16" i="14"/>
  <c r="G12" i="14"/>
  <c r="D25" i="16"/>
  <c r="G12" i="17"/>
  <c r="F16" i="17"/>
  <c r="D25" i="15"/>
  <c r="E42" i="17"/>
  <c r="F12" i="15"/>
  <c r="E16" i="15"/>
  <c r="F12" i="16"/>
  <c r="E16" i="16"/>
  <c r="E42" i="16"/>
  <c r="F22" i="8" l="1"/>
  <c r="G22" i="8" s="1"/>
  <c r="D27" i="8"/>
  <c r="F15" i="8"/>
  <c r="G15" i="8" s="1"/>
  <c r="H15" i="8" s="1"/>
  <c r="I15" i="8" s="1"/>
  <c r="J15" i="8" s="1"/>
  <c r="K15" i="8" s="1"/>
  <c r="L15" i="8" s="1"/>
  <c r="M15" i="8" s="1"/>
  <c r="N15" i="8" s="1"/>
  <c r="O15" i="8" s="1"/>
  <c r="P15" i="8" s="1"/>
  <c r="Q15" i="8" s="1"/>
  <c r="R15" i="8" s="1"/>
  <c r="S15" i="8" s="1"/>
  <c r="T15" i="8" s="1"/>
  <c r="U15" i="8" s="1"/>
  <c r="V15" i="8" s="1"/>
  <c r="W15" i="8" s="1"/>
  <c r="X15" i="8" s="1"/>
  <c r="Y15" i="8" s="1"/>
  <c r="Z15" i="8" s="1"/>
  <c r="AA15" i="8" s="1"/>
  <c r="AB15" i="8" s="1"/>
  <c r="AC15" i="8" s="1"/>
  <c r="F21" i="8"/>
  <c r="L25" i="2"/>
  <c r="R12" i="8"/>
  <c r="R10" i="8"/>
  <c r="H12" i="17"/>
  <c r="G16" i="17"/>
  <c r="H12" i="14"/>
  <c r="G16" i="14"/>
  <c r="E43" i="17"/>
  <c r="G12" i="16"/>
  <c r="F16" i="16"/>
  <c r="G12" i="15"/>
  <c r="F16" i="15"/>
  <c r="E43" i="16"/>
  <c r="D17" i="2"/>
  <c r="D29" i="8" l="1"/>
  <c r="O4" i="8"/>
  <c r="P4" i="8"/>
  <c r="Q4" i="8"/>
  <c r="R4" i="8"/>
  <c r="S4" i="8"/>
  <c r="T4" i="8"/>
  <c r="U4" i="8"/>
  <c r="V4" i="8"/>
  <c r="W4" i="8"/>
  <c r="Y4" i="8"/>
  <c r="Z4" i="8"/>
  <c r="AA4" i="8"/>
  <c r="AB4" i="8"/>
  <c r="AC4" i="8"/>
  <c r="F4" i="8"/>
  <c r="G4" i="8"/>
  <c r="H4" i="8"/>
  <c r="I4" i="8"/>
  <c r="J4" i="8"/>
  <c r="K4" i="8"/>
  <c r="L4" i="8"/>
  <c r="M4" i="8"/>
  <c r="E4" i="8"/>
  <c r="M10" i="2"/>
  <c r="V10" i="2"/>
  <c r="X4" i="8"/>
  <c r="N4" i="8"/>
  <c r="F24" i="8"/>
  <c r="G21" i="8"/>
  <c r="S10" i="8"/>
  <c r="S12" i="8"/>
  <c r="H16" i="14"/>
  <c r="I12" i="14"/>
  <c r="I12" i="17"/>
  <c r="H16" i="17"/>
  <c r="E44" i="17"/>
  <c r="H12" i="15"/>
  <c r="G16" i="15"/>
  <c r="G16" i="16"/>
  <c r="H12" i="16"/>
  <c r="E44" i="16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M18" i="2"/>
  <c r="M27" i="2" s="1"/>
  <c r="W10" i="2"/>
  <c r="X10" i="2"/>
  <c r="Y10" i="2"/>
  <c r="Z10" i="2"/>
  <c r="AA10" i="2"/>
  <c r="AB10" i="2"/>
  <c r="AC10" i="2"/>
  <c r="AD10" i="2"/>
  <c r="AE10" i="2"/>
  <c r="AG10" i="2"/>
  <c r="AH10" i="2"/>
  <c r="AI10" i="2"/>
  <c r="AJ10" i="2"/>
  <c r="AK10" i="2"/>
  <c r="N10" i="2"/>
  <c r="O10" i="2"/>
  <c r="P10" i="2"/>
  <c r="Q10" i="2"/>
  <c r="R10" i="2"/>
  <c r="S10" i="2"/>
  <c r="T10" i="2"/>
  <c r="U10" i="2"/>
  <c r="G24" i="8" l="1"/>
  <c r="G25" i="8" s="1"/>
  <c r="H21" i="8"/>
  <c r="Z21" i="2"/>
  <c r="S21" i="2"/>
  <c r="AK21" i="2"/>
  <c r="T21" i="2"/>
  <c r="N21" i="2"/>
  <c r="AE21" i="2"/>
  <c r="Y21" i="2"/>
  <c r="T12" i="8"/>
  <c r="T10" i="8"/>
  <c r="AD21" i="2"/>
  <c r="R21" i="2"/>
  <c r="P21" i="2"/>
  <c r="X21" i="2"/>
  <c r="AJ21" i="2"/>
  <c r="AH21" i="2"/>
  <c r="AA21" i="2"/>
  <c r="U21" i="2"/>
  <c r="O21" i="2"/>
  <c r="AG21" i="2"/>
  <c r="AC21" i="2"/>
  <c r="W21" i="2"/>
  <c r="Q21" i="2"/>
  <c r="AI21" i="2"/>
  <c r="M21" i="2"/>
  <c r="I16" i="17"/>
  <c r="J12" i="17"/>
  <c r="J12" i="14"/>
  <c r="I16" i="14"/>
  <c r="E45" i="17"/>
  <c r="H16" i="16"/>
  <c r="I12" i="16"/>
  <c r="H16" i="15"/>
  <c r="I12" i="15"/>
  <c r="E45" i="16"/>
  <c r="M24" i="2"/>
  <c r="AB21" i="2"/>
  <c r="R12" i="2"/>
  <c r="R23" i="2" s="1"/>
  <c r="AH27" i="2"/>
  <c r="AA27" i="2"/>
  <c r="Z27" i="2"/>
  <c r="Y27" i="2"/>
  <c r="W27" i="2"/>
  <c r="AB27" i="2"/>
  <c r="S27" i="2"/>
  <c r="X27" i="2"/>
  <c r="Q27" i="2"/>
  <c r="AD27" i="2"/>
  <c r="AK27" i="2"/>
  <c r="AC27" i="2"/>
  <c r="T27" i="2"/>
  <c r="AG27" i="2"/>
  <c r="AF27" i="2"/>
  <c r="AE27" i="2"/>
  <c r="AI27" i="2"/>
  <c r="AJ27" i="2"/>
  <c r="O27" i="2"/>
  <c r="P27" i="2"/>
  <c r="U27" i="2"/>
  <c r="V27" i="2"/>
  <c r="I21" i="8" l="1"/>
  <c r="H24" i="8"/>
  <c r="U10" i="8"/>
  <c r="U12" i="8"/>
  <c r="J16" i="2"/>
  <c r="J16" i="14"/>
  <c r="K12" i="14"/>
  <c r="J16" i="17"/>
  <c r="K12" i="17"/>
  <c r="E46" i="17"/>
  <c r="I16" i="15"/>
  <c r="J12" i="15"/>
  <c r="J12" i="16"/>
  <c r="I16" i="16"/>
  <c r="E46" i="16"/>
  <c r="N27" i="2"/>
  <c r="R13" i="2"/>
  <c r="R24" i="2" s="1"/>
  <c r="R27" i="2"/>
  <c r="AJ13" i="2"/>
  <c r="AJ24" i="2" s="1"/>
  <c r="AJ12" i="2"/>
  <c r="AJ23" i="2" s="1"/>
  <c r="AB13" i="2"/>
  <c r="AB24" i="2" s="1"/>
  <c r="AB12" i="2"/>
  <c r="AB23" i="2" s="1"/>
  <c r="V13" i="2"/>
  <c r="V24" i="2" s="1"/>
  <c r="V12" i="2"/>
  <c r="V23" i="2" s="1"/>
  <c r="T12" i="2"/>
  <c r="T23" i="2" s="1"/>
  <c r="T13" i="2"/>
  <c r="T24" i="2" s="1"/>
  <c r="W13" i="2"/>
  <c r="W24" i="2" s="1"/>
  <c r="W12" i="2"/>
  <c r="W23" i="2" s="1"/>
  <c r="O12" i="2"/>
  <c r="O23" i="2" s="1"/>
  <c r="O13" i="2"/>
  <c r="O24" i="2" s="1"/>
  <c r="U12" i="2"/>
  <c r="U23" i="2" s="1"/>
  <c r="U13" i="2"/>
  <c r="U24" i="2" s="1"/>
  <c r="N12" i="2"/>
  <c r="N23" i="2" s="1"/>
  <c r="N13" i="2"/>
  <c r="AK12" i="2"/>
  <c r="AK23" i="2" s="1"/>
  <c r="AK13" i="2"/>
  <c r="AK24" i="2" s="1"/>
  <c r="AD13" i="2"/>
  <c r="AD24" i="2" s="1"/>
  <c r="AD12" i="2"/>
  <c r="AD23" i="2" s="1"/>
  <c r="AH13" i="2"/>
  <c r="AH24" i="2" s="1"/>
  <c r="AH12" i="2"/>
  <c r="AH23" i="2" s="1"/>
  <c r="S12" i="2"/>
  <c r="S23" i="2" s="1"/>
  <c r="S13" i="2"/>
  <c r="S24" i="2" s="1"/>
  <c r="AA12" i="2"/>
  <c r="AA23" i="2" s="1"/>
  <c r="AA13" i="2"/>
  <c r="AA24" i="2" s="1"/>
  <c r="AC13" i="2"/>
  <c r="AC24" i="2" s="1"/>
  <c r="AC12" i="2"/>
  <c r="AC23" i="2" s="1"/>
  <c r="AI13" i="2"/>
  <c r="AI24" i="2" s="1"/>
  <c r="AI12" i="2"/>
  <c r="AI23" i="2" s="1"/>
  <c r="AE12" i="2"/>
  <c r="AE23" i="2" s="1"/>
  <c r="AE13" i="2"/>
  <c r="AE24" i="2" s="1"/>
  <c r="M23" i="2"/>
  <c r="AF12" i="2"/>
  <c r="AF23" i="2" s="1"/>
  <c r="AF13" i="2"/>
  <c r="AF24" i="2" s="1"/>
  <c r="Q13" i="2"/>
  <c r="Q24" i="2" s="1"/>
  <c r="Q12" i="2"/>
  <c r="Y12" i="2"/>
  <c r="Y23" i="2" s="1"/>
  <c r="Y13" i="2"/>
  <c r="Y24" i="2" s="1"/>
  <c r="P13" i="2"/>
  <c r="P24" i="2" s="1"/>
  <c r="P12" i="2"/>
  <c r="P23" i="2" s="1"/>
  <c r="AG13" i="2"/>
  <c r="AG24" i="2" s="1"/>
  <c r="AG12" i="2"/>
  <c r="X13" i="2"/>
  <c r="X24" i="2" s="1"/>
  <c r="X12" i="2"/>
  <c r="Z12" i="2"/>
  <c r="Z23" i="2" s="1"/>
  <c r="Z13" i="2"/>
  <c r="Z24" i="2" s="1"/>
  <c r="J21" i="8" l="1"/>
  <c r="I24" i="8"/>
  <c r="V12" i="8"/>
  <c r="V10" i="8"/>
  <c r="J27" i="2"/>
  <c r="K16" i="14"/>
  <c r="L12" i="14"/>
  <c r="L12" i="17"/>
  <c r="K16" i="17"/>
  <c r="E47" i="17"/>
  <c r="K12" i="15"/>
  <c r="J16" i="15"/>
  <c r="K12" i="16"/>
  <c r="J16" i="16"/>
  <c r="E47" i="16"/>
  <c r="X23" i="2"/>
  <c r="AG23" i="2"/>
  <c r="Q23" i="2"/>
  <c r="N24" i="2"/>
  <c r="J24" i="2" s="1"/>
  <c r="J13" i="2"/>
  <c r="J12" i="2"/>
  <c r="J24" i="8" l="1"/>
  <c r="K21" i="8"/>
  <c r="O43" i="2"/>
  <c r="O50" i="2" s="1"/>
  <c r="P50" i="2" s="1"/>
  <c r="W10" i="8"/>
  <c r="W12" i="8"/>
  <c r="L16" i="14"/>
  <c r="M12" i="14"/>
  <c r="M12" i="17"/>
  <c r="L16" i="17"/>
  <c r="J23" i="2"/>
  <c r="E48" i="17"/>
  <c r="K16" i="16"/>
  <c r="L12" i="16"/>
  <c r="L12" i="15"/>
  <c r="K16" i="15"/>
  <c r="E48" i="16"/>
  <c r="L21" i="8" l="1"/>
  <c r="K24" i="8"/>
  <c r="X12" i="8"/>
  <c r="X10" i="8"/>
  <c r="O42" i="2"/>
  <c r="O48" i="2" s="1"/>
  <c r="P48" i="2" s="1"/>
  <c r="M49" i="2" s="1"/>
  <c r="N12" i="17"/>
  <c r="M16" i="17"/>
  <c r="M16" i="14"/>
  <c r="N12" i="14"/>
  <c r="E49" i="17"/>
  <c r="M12" i="15"/>
  <c r="L16" i="15"/>
  <c r="M12" i="16"/>
  <c r="L16" i="16"/>
  <c r="E49" i="16"/>
  <c r="M21" i="8" l="1"/>
  <c r="L24" i="8"/>
  <c r="Y10" i="8"/>
  <c r="Y12" i="8"/>
  <c r="N16" i="14"/>
  <c r="O12" i="14"/>
  <c r="N16" i="17"/>
  <c r="O12" i="17"/>
  <c r="E50" i="17"/>
  <c r="M16" i="15"/>
  <c r="N12" i="15"/>
  <c r="N12" i="16"/>
  <c r="M16" i="16"/>
  <c r="E50" i="16"/>
  <c r="N21" i="8" l="1"/>
  <c r="M24" i="8"/>
  <c r="Z10" i="8"/>
  <c r="Z12" i="8"/>
  <c r="O16" i="17"/>
  <c r="P12" i="17"/>
  <c r="P12" i="14"/>
  <c r="O16" i="14"/>
  <c r="E51" i="17"/>
  <c r="N16" i="16"/>
  <c r="O12" i="16"/>
  <c r="O12" i="15"/>
  <c r="N16" i="15"/>
  <c r="E51" i="16"/>
  <c r="O21" i="8" l="1"/>
  <c r="N24" i="8"/>
  <c r="AA10" i="8"/>
  <c r="AA12" i="8"/>
  <c r="Q12" i="14"/>
  <c r="P16" i="14"/>
  <c r="P16" i="17"/>
  <c r="Q12" i="17"/>
  <c r="E52" i="17"/>
  <c r="P12" i="15"/>
  <c r="O16" i="15"/>
  <c r="O16" i="16"/>
  <c r="P12" i="16"/>
  <c r="E52" i="16"/>
  <c r="P21" i="8" l="1"/>
  <c r="O24" i="8"/>
  <c r="AB12" i="8"/>
  <c r="AB10" i="8"/>
  <c r="R12" i="17"/>
  <c r="Q16" i="17"/>
  <c r="R12" i="14"/>
  <c r="Q16" i="14"/>
  <c r="E53" i="17"/>
  <c r="Q12" i="16"/>
  <c r="P16" i="16"/>
  <c r="P16" i="15"/>
  <c r="Q12" i="15"/>
  <c r="E53" i="16"/>
  <c r="Q21" i="8" l="1"/>
  <c r="P24" i="8"/>
  <c r="AC10" i="8"/>
  <c r="AC12" i="8"/>
  <c r="S12" i="14"/>
  <c r="R16" i="14"/>
  <c r="S12" i="17"/>
  <c r="R16" i="17"/>
  <c r="E54" i="17"/>
  <c r="R12" i="15"/>
  <c r="Q16" i="15"/>
  <c r="R12" i="16"/>
  <c r="Q16" i="16"/>
  <c r="E54" i="16"/>
  <c r="R21" i="8" l="1"/>
  <c r="Q24" i="8"/>
  <c r="S16" i="17"/>
  <c r="T12" i="17"/>
  <c r="S16" i="14"/>
  <c r="T12" i="14"/>
  <c r="E55" i="17"/>
  <c r="R16" i="16"/>
  <c r="S12" i="16"/>
  <c r="S12" i="15"/>
  <c r="R16" i="15"/>
  <c r="E55" i="16"/>
  <c r="R24" i="8" l="1"/>
  <c r="S21" i="8"/>
  <c r="S24" i="8" s="1"/>
  <c r="T16" i="14"/>
  <c r="U12" i="14"/>
  <c r="T16" i="17"/>
  <c r="U12" i="17"/>
  <c r="E56" i="17"/>
  <c r="S16" i="15"/>
  <c r="T12" i="15"/>
  <c r="T12" i="16"/>
  <c r="S16" i="16"/>
  <c r="E56" i="16"/>
  <c r="U16" i="17" l="1"/>
  <c r="V12" i="17"/>
  <c r="V12" i="14"/>
  <c r="U16" i="14"/>
  <c r="E57" i="17"/>
  <c r="T16" i="16"/>
  <c r="U12" i="16"/>
  <c r="T16" i="15"/>
  <c r="U12" i="15"/>
  <c r="E57" i="16"/>
  <c r="V16" i="14" l="1"/>
  <c r="W12" i="14"/>
  <c r="V16" i="17"/>
  <c r="W12" i="17"/>
  <c r="E58" i="17"/>
  <c r="V12" i="16"/>
  <c r="U16" i="16"/>
  <c r="U16" i="15"/>
  <c r="V12" i="15"/>
  <c r="E58" i="16"/>
  <c r="X12" i="17" l="1"/>
  <c r="W16" i="17"/>
  <c r="X12" i="14"/>
  <c r="W16" i="14"/>
  <c r="E59" i="17"/>
  <c r="W12" i="15"/>
  <c r="V16" i="15"/>
  <c r="W12" i="16"/>
  <c r="V16" i="16"/>
  <c r="E59" i="16"/>
  <c r="Y12" i="14" l="1"/>
  <c r="X16" i="14"/>
  <c r="Y12" i="17"/>
  <c r="X16" i="17"/>
  <c r="E60" i="17"/>
  <c r="X12" i="16"/>
  <c r="W16" i="16"/>
  <c r="X12" i="15"/>
  <c r="W16" i="15"/>
  <c r="E60" i="16"/>
  <c r="Z12" i="17" l="1"/>
  <c r="Y16" i="17"/>
  <c r="Z12" i="14"/>
  <c r="Y16" i="14"/>
  <c r="E61" i="17"/>
  <c r="X16" i="15"/>
  <c r="Y12" i="15"/>
  <c r="X16" i="16"/>
  <c r="Y12" i="16"/>
  <c r="E61" i="16"/>
  <c r="Z16" i="14" l="1"/>
  <c r="AA12" i="14"/>
  <c r="AA12" i="17"/>
  <c r="Z16" i="17"/>
  <c r="E62" i="17"/>
  <c r="Y16" i="15"/>
  <c r="Z12" i="15"/>
  <c r="Z12" i="16"/>
  <c r="Y16" i="16"/>
  <c r="E62" i="16"/>
  <c r="AB12" i="17" l="1"/>
  <c r="AA16" i="17"/>
  <c r="AB12" i="14"/>
  <c r="AA16" i="14"/>
  <c r="E63" i="17"/>
  <c r="AA12" i="15"/>
  <c r="Z16" i="15"/>
  <c r="Z16" i="16"/>
  <c r="AA12" i="16"/>
  <c r="E63" i="16"/>
  <c r="AB16" i="14" l="1"/>
  <c r="AC12" i="14"/>
  <c r="AC16" i="14" s="1"/>
  <c r="AB16" i="17"/>
  <c r="AC12" i="17"/>
  <c r="AC16" i="17" s="1"/>
  <c r="E64" i="17"/>
  <c r="AB12" i="15"/>
  <c r="AA16" i="15"/>
  <c r="AB12" i="16"/>
  <c r="AA16" i="16"/>
  <c r="E64" i="16"/>
  <c r="E65" i="17" l="1"/>
  <c r="AB16" i="16"/>
  <c r="AC12" i="16"/>
  <c r="AC16" i="16" s="1"/>
  <c r="AC12" i="15"/>
  <c r="AC16" i="15" s="1"/>
  <c r="AB16" i="15"/>
  <c r="E65" i="16"/>
  <c r="E66" i="17" l="1"/>
  <c r="E66" i="16"/>
  <c r="E67" i="17" l="1"/>
  <c r="E67" i="16"/>
  <c r="E68" i="17" l="1"/>
  <c r="E68" i="16"/>
  <c r="E69" i="17" l="1"/>
  <c r="E69" i="16"/>
  <c r="E70" i="17" l="1"/>
  <c r="E70" i="16"/>
  <c r="E71" i="17" l="1"/>
  <c r="E71" i="16"/>
  <c r="E72" i="17" l="1"/>
  <c r="E72" i="16"/>
  <c r="E73" i="17" l="1"/>
  <c r="E73" i="16"/>
  <c r="E74" i="16" s="1"/>
  <c r="E75" i="16" s="1"/>
  <c r="E76" i="16" s="1"/>
  <c r="E77" i="16" s="1"/>
  <c r="E78" i="16" s="1"/>
  <c r="E79" i="16" s="1"/>
  <c r="E80" i="16" s="1"/>
  <c r="E81" i="16" s="1"/>
  <c r="E82" i="16" s="1"/>
  <c r="E83" i="16" s="1"/>
  <c r="E84" i="16" s="1"/>
  <c r="E85" i="16" s="1"/>
  <c r="E86" i="16" s="1"/>
  <c r="E87" i="16" s="1"/>
  <c r="E88" i="16" s="1"/>
  <c r="E74" i="17" l="1"/>
  <c r="E75" i="17" l="1"/>
  <c r="E76" i="17" l="1"/>
  <c r="E77" i="17" l="1"/>
  <c r="E78" i="17" l="1"/>
  <c r="E79" i="17" l="1"/>
  <c r="E80" i="17" l="1"/>
  <c r="E81" i="17" l="1"/>
  <c r="E82" i="17" l="1"/>
  <c r="E83" i="17" l="1"/>
  <c r="E84" i="17" l="1"/>
  <c r="E85" i="17" l="1"/>
  <c r="E86" i="17" l="1"/>
  <c r="E87" i="17" l="1"/>
  <c r="E88" i="17" l="1"/>
  <c r="U11" i="2" l="1"/>
  <c r="P11" i="2" l="1"/>
  <c r="P22" i="2" s="1"/>
  <c r="P25" i="2" s="1"/>
  <c r="W11" i="2"/>
  <c r="W22" i="2" s="1"/>
  <c r="W25" i="2" s="1"/>
  <c r="Z11" i="2"/>
  <c r="Z14" i="2" s="1"/>
  <c r="AK11" i="2"/>
  <c r="AK22" i="2" s="1"/>
  <c r="AK25" i="2" s="1"/>
  <c r="T11" i="2"/>
  <c r="T14" i="2" s="1"/>
  <c r="S11" i="2"/>
  <c r="S14" i="2" s="1"/>
  <c r="AF10" i="2"/>
  <c r="J10" i="2" s="1"/>
  <c r="AE11" i="2"/>
  <c r="AE22" i="2" s="1"/>
  <c r="AE25" i="2" s="1"/>
  <c r="AF11" i="2"/>
  <c r="AF22" i="2" s="1"/>
  <c r="N11" i="2"/>
  <c r="N14" i="2" s="1"/>
  <c r="AI11" i="2"/>
  <c r="AI22" i="2" s="1"/>
  <c r="AI25" i="2" s="1"/>
  <c r="AB11" i="2"/>
  <c r="AB14" i="2" s="1"/>
  <c r="AH11" i="2"/>
  <c r="AH14" i="2" s="1"/>
  <c r="AA11" i="2"/>
  <c r="AA22" i="2" s="1"/>
  <c r="AA25" i="2" s="1"/>
  <c r="AC11" i="2"/>
  <c r="AC14" i="2" s="1"/>
  <c r="V11" i="2"/>
  <c r="V14" i="2" s="1"/>
  <c r="AJ11" i="2"/>
  <c r="AJ22" i="2" s="1"/>
  <c r="AJ25" i="2" s="1"/>
  <c r="R11" i="2"/>
  <c r="R14" i="2" s="1"/>
  <c r="AG11" i="2"/>
  <c r="AG22" i="2" s="1"/>
  <c r="AG25" i="2" s="1"/>
  <c r="Y11" i="2"/>
  <c r="Y14" i="2" s="1"/>
  <c r="AD11" i="2"/>
  <c r="AD14" i="2" s="1"/>
  <c r="Q11" i="2"/>
  <c r="Q22" i="2" s="1"/>
  <c r="Q25" i="2" s="1"/>
  <c r="O11" i="2"/>
  <c r="O22" i="2" s="1"/>
  <c r="O25" i="2" s="1"/>
  <c r="X11" i="2"/>
  <c r="U22" i="2"/>
  <c r="U25" i="2" s="1"/>
  <c r="U14" i="2"/>
  <c r="AF21" i="2" l="1"/>
  <c r="V21" i="2"/>
  <c r="AF14" i="2"/>
  <c r="M22" i="2"/>
  <c r="M25" i="2" s="1"/>
  <c r="J11" i="2"/>
  <c r="T22" i="2"/>
  <c r="T25" i="2" s="1"/>
  <c r="S22" i="2"/>
  <c r="S25" i="2" s="1"/>
  <c r="N22" i="2"/>
  <c r="N25" i="2" s="1"/>
  <c r="W14" i="2"/>
  <c r="AF25" i="2"/>
  <c r="P14" i="2"/>
  <c r="AE14" i="2"/>
  <c r="AK14" i="2"/>
  <c r="AJ14" i="2"/>
  <c r="Y22" i="2"/>
  <c r="Y25" i="2" s="1"/>
  <c r="Z22" i="2"/>
  <c r="Z25" i="2" s="1"/>
  <c r="M14" i="2"/>
  <c r="AI14" i="2"/>
  <c r="R22" i="2"/>
  <c r="R25" i="2" s="1"/>
  <c r="AB22" i="2"/>
  <c r="AB25" i="2" s="1"/>
  <c r="AG14" i="2"/>
  <c r="AH22" i="2"/>
  <c r="AH25" i="2" s="1"/>
  <c r="AD22" i="2"/>
  <c r="AD25" i="2" s="1"/>
  <c r="AC22" i="2"/>
  <c r="AC25" i="2" s="1"/>
  <c r="V22" i="2"/>
  <c r="AA14" i="2"/>
  <c r="Q14" i="2"/>
  <c r="O14" i="2"/>
  <c r="X14" i="2"/>
  <c r="X22" i="2"/>
  <c r="X25" i="2" s="1"/>
  <c r="J21" i="2" l="1"/>
  <c r="O40" i="2" s="1"/>
  <c r="N49" i="2" s="1"/>
  <c r="V25" i="2"/>
  <c r="J14" i="2"/>
  <c r="J22" i="2"/>
  <c r="O41" i="2" s="1"/>
  <c r="O49" i="2" s="1"/>
  <c r="O38" i="2" l="1"/>
  <c r="J25" i="2"/>
  <c r="P49" i="2"/>
  <c r="M50" i="2" s="1"/>
  <c r="D4" i="14" l="1"/>
  <c r="D4" i="15"/>
  <c r="D4" i="17"/>
  <c r="D4" i="16"/>
  <c r="P51" i="2"/>
  <c r="Q49" i="2" s="1"/>
  <c r="D5" i="16" l="1"/>
  <c r="D7" i="16" s="1"/>
  <c r="D22" i="16" s="1"/>
  <c r="D24" i="16" s="1"/>
  <c r="E4" i="16"/>
  <c r="D5" i="15"/>
  <c r="D7" i="15" s="1"/>
  <c r="D22" i="15" s="1"/>
  <c r="D24" i="15" s="1"/>
  <c r="E4" i="15"/>
  <c r="D7" i="8"/>
  <c r="D5" i="17"/>
  <c r="D7" i="17" s="1"/>
  <c r="D22" i="17" s="1"/>
  <c r="D24" i="17" s="1"/>
  <c r="E4" i="17"/>
  <c r="E4" i="14"/>
  <c r="D5" i="14"/>
  <c r="D7" i="14" s="1"/>
  <c r="D22" i="14" s="1"/>
  <c r="D24" i="14" s="1"/>
  <c r="Q48" i="2"/>
  <c r="Q50" i="2"/>
  <c r="E5" i="15" l="1"/>
  <c r="E7" i="15" s="1"/>
  <c r="F4" i="15"/>
  <c r="F4" i="14"/>
  <c r="E5" i="14"/>
  <c r="E7" i="14" s="1"/>
  <c r="E5" i="17"/>
  <c r="E7" i="17" s="1"/>
  <c r="F4" i="17"/>
  <c r="E5" i="16"/>
  <c r="E7" i="16" s="1"/>
  <c r="F4" i="16"/>
  <c r="F6" i="8"/>
  <c r="G6" i="8" l="1"/>
  <c r="F5" i="14"/>
  <c r="F7" i="14" s="1"/>
  <c r="G4" i="14"/>
  <c r="E22" i="17"/>
  <c r="E24" i="17" s="1"/>
  <c r="E8" i="17"/>
  <c r="E8" i="16"/>
  <c r="E22" i="16"/>
  <c r="E24" i="16" s="1"/>
  <c r="G4" i="15"/>
  <c r="F5" i="15"/>
  <c r="F7" i="15" s="1"/>
  <c r="E22" i="14"/>
  <c r="E24" i="14" s="1"/>
  <c r="E8" i="14"/>
  <c r="F5" i="16"/>
  <c r="F7" i="16" s="1"/>
  <c r="G4" i="16"/>
  <c r="F5" i="17"/>
  <c r="F7" i="17" s="1"/>
  <c r="G4" i="17"/>
  <c r="E8" i="15"/>
  <c r="E22" i="15"/>
  <c r="E24" i="15" s="1"/>
  <c r="H6" i="8" l="1"/>
  <c r="G5" i="16"/>
  <c r="G7" i="16" s="1"/>
  <c r="H4" i="16"/>
  <c r="G5" i="17"/>
  <c r="G7" i="17" s="1"/>
  <c r="H4" i="17"/>
  <c r="F8" i="15"/>
  <c r="F22" i="15"/>
  <c r="F24" i="15" s="1"/>
  <c r="H4" i="14"/>
  <c r="G5" i="14"/>
  <c r="G7" i="14" s="1"/>
  <c r="F8" i="16"/>
  <c r="F22" i="16"/>
  <c r="F24" i="16" s="1"/>
  <c r="F22" i="17"/>
  <c r="F24" i="17" s="1"/>
  <c r="F8" i="17"/>
  <c r="G5" i="15"/>
  <c r="G7" i="15" s="1"/>
  <c r="H4" i="15"/>
  <c r="F22" i="14"/>
  <c r="F24" i="14" s="1"/>
  <c r="F8" i="14"/>
  <c r="F25" i="8"/>
  <c r="I6" i="8" l="1"/>
  <c r="H5" i="17"/>
  <c r="H7" i="17" s="1"/>
  <c r="I4" i="17"/>
  <c r="H5" i="16"/>
  <c r="H7" i="16" s="1"/>
  <c r="I4" i="16"/>
  <c r="G22" i="17"/>
  <c r="G24" i="17" s="1"/>
  <c r="G8" i="17"/>
  <c r="G8" i="16"/>
  <c r="G22" i="16"/>
  <c r="G24" i="16" s="1"/>
  <c r="G22" i="14"/>
  <c r="G24" i="14" s="1"/>
  <c r="G8" i="14"/>
  <c r="I4" i="15"/>
  <c r="H5" i="15"/>
  <c r="H7" i="15" s="1"/>
  <c r="G8" i="15"/>
  <c r="G22" i="15"/>
  <c r="G24" i="15" s="1"/>
  <c r="H5" i="14"/>
  <c r="H7" i="14" s="1"/>
  <c r="I4" i="14"/>
  <c r="J6" i="8" l="1"/>
  <c r="J4" i="16"/>
  <c r="I5" i="16"/>
  <c r="I7" i="16" s="1"/>
  <c r="H8" i="16"/>
  <c r="H22" i="16"/>
  <c r="H24" i="16" s="1"/>
  <c r="H8" i="17"/>
  <c r="H22" i="17"/>
  <c r="H24" i="17" s="1"/>
  <c r="H8" i="15"/>
  <c r="H22" i="15"/>
  <c r="H24" i="15" s="1"/>
  <c r="I5" i="14"/>
  <c r="I7" i="14" s="1"/>
  <c r="J4" i="14"/>
  <c r="H8" i="14"/>
  <c r="H22" i="14"/>
  <c r="H24" i="14" s="1"/>
  <c r="I5" i="15"/>
  <c r="I7" i="15" s="1"/>
  <c r="J4" i="15"/>
  <c r="J4" i="17"/>
  <c r="I5" i="17"/>
  <c r="I7" i="17" s="1"/>
  <c r="K6" i="8" l="1"/>
  <c r="H25" i="8"/>
  <c r="I22" i="17"/>
  <c r="I24" i="17" s="1"/>
  <c r="I8" i="17"/>
  <c r="I8" i="16"/>
  <c r="I22" i="16"/>
  <c r="I24" i="16" s="1"/>
  <c r="I8" i="15"/>
  <c r="I22" i="15"/>
  <c r="I24" i="15" s="1"/>
  <c r="K4" i="17"/>
  <c r="J5" i="17"/>
  <c r="J7" i="17" s="1"/>
  <c r="K4" i="16"/>
  <c r="J5" i="16"/>
  <c r="J7" i="16" s="1"/>
  <c r="J5" i="15"/>
  <c r="J7" i="15" s="1"/>
  <c r="K4" i="15"/>
  <c r="I22" i="14"/>
  <c r="I24" i="14" s="1"/>
  <c r="I8" i="14"/>
  <c r="J5" i="14"/>
  <c r="J7" i="14" s="1"/>
  <c r="K4" i="14"/>
  <c r="L6" i="8" l="1"/>
  <c r="I25" i="8"/>
  <c r="J8" i="16"/>
  <c r="J22" i="16"/>
  <c r="J24" i="16" s="1"/>
  <c r="J8" i="17"/>
  <c r="J22" i="17"/>
  <c r="J24" i="17" s="1"/>
  <c r="L4" i="14"/>
  <c r="K5" i="14"/>
  <c r="K7" i="14" s="1"/>
  <c r="L4" i="15"/>
  <c r="K5" i="15"/>
  <c r="K7" i="15" s="1"/>
  <c r="L4" i="16"/>
  <c r="K5" i="16"/>
  <c r="K7" i="16" s="1"/>
  <c r="K5" i="17"/>
  <c r="K7" i="17" s="1"/>
  <c r="L4" i="17"/>
  <c r="J8" i="14"/>
  <c r="J22" i="14"/>
  <c r="J24" i="14" s="1"/>
  <c r="J8" i="15"/>
  <c r="J22" i="15"/>
  <c r="J24" i="15" s="1"/>
  <c r="M6" i="8" l="1"/>
  <c r="J25" i="8"/>
  <c r="M4" i="15"/>
  <c r="L5" i="15"/>
  <c r="L7" i="15" s="1"/>
  <c r="K8" i="16"/>
  <c r="K22" i="16"/>
  <c r="K24" i="16" s="1"/>
  <c r="K8" i="14"/>
  <c r="K22" i="14"/>
  <c r="K24" i="14" s="1"/>
  <c r="M4" i="14"/>
  <c r="L5" i="14"/>
  <c r="L7" i="14" s="1"/>
  <c r="M4" i="16"/>
  <c r="L5" i="16"/>
  <c r="L7" i="16" s="1"/>
  <c r="M4" i="17"/>
  <c r="L5" i="17"/>
  <c r="L7" i="17" s="1"/>
  <c r="K22" i="17"/>
  <c r="K24" i="17" s="1"/>
  <c r="K8" i="17"/>
  <c r="K8" i="15"/>
  <c r="K22" i="15"/>
  <c r="K24" i="15" s="1"/>
  <c r="N6" i="8" l="1"/>
  <c r="K25" i="8"/>
  <c r="M5" i="16"/>
  <c r="M7" i="16" s="1"/>
  <c r="N4" i="16"/>
  <c r="N4" i="14"/>
  <c r="M5" i="14"/>
  <c r="M7" i="14" s="1"/>
  <c r="L8" i="17"/>
  <c r="L22" i="17"/>
  <c r="L24" i="17" s="1"/>
  <c r="L8" i="15"/>
  <c r="L22" i="15"/>
  <c r="L24" i="15" s="1"/>
  <c r="M5" i="17"/>
  <c r="M7" i="17" s="1"/>
  <c r="N4" i="17"/>
  <c r="M5" i="15"/>
  <c r="M7" i="15" s="1"/>
  <c r="N4" i="15"/>
  <c r="L8" i="16"/>
  <c r="L22" i="16"/>
  <c r="L24" i="16" s="1"/>
  <c r="L22" i="14"/>
  <c r="L24" i="14" s="1"/>
  <c r="L8" i="14"/>
  <c r="O6" i="8" l="1"/>
  <c r="L25" i="8"/>
  <c r="N5" i="17"/>
  <c r="N7" i="17" s="1"/>
  <c r="O4" i="17"/>
  <c r="M8" i="17"/>
  <c r="M22" i="17"/>
  <c r="M24" i="17" s="1"/>
  <c r="M8" i="15"/>
  <c r="M22" i="15"/>
  <c r="M24" i="15" s="1"/>
  <c r="N5" i="14"/>
  <c r="N7" i="14" s="1"/>
  <c r="O4" i="14"/>
  <c r="O4" i="16"/>
  <c r="N5" i="16"/>
  <c r="N7" i="16" s="1"/>
  <c r="N5" i="15"/>
  <c r="N7" i="15" s="1"/>
  <c r="O4" i="15"/>
  <c r="M8" i="14"/>
  <c r="M22" i="14"/>
  <c r="M24" i="14" s="1"/>
  <c r="M8" i="16"/>
  <c r="M22" i="16"/>
  <c r="M24" i="16" s="1"/>
  <c r="P6" i="8" l="1"/>
  <c r="M25" i="8"/>
  <c r="N8" i="16"/>
  <c r="N22" i="16"/>
  <c r="N24" i="16" s="1"/>
  <c r="P4" i="16"/>
  <c r="O5" i="16"/>
  <c r="O7" i="16" s="1"/>
  <c r="P4" i="14"/>
  <c r="O5" i="14"/>
  <c r="O7" i="14" s="1"/>
  <c r="N22" i="14"/>
  <c r="N24" i="14" s="1"/>
  <c r="N8" i="14"/>
  <c r="P4" i="17"/>
  <c r="O5" i="17"/>
  <c r="O7" i="17" s="1"/>
  <c r="P4" i="15"/>
  <c r="O5" i="15"/>
  <c r="O7" i="15" s="1"/>
  <c r="N22" i="17"/>
  <c r="N24" i="17" s="1"/>
  <c r="N8" i="17"/>
  <c r="N8" i="15"/>
  <c r="N22" i="15"/>
  <c r="N24" i="15" s="1"/>
  <c r="Q6" i="8" l="1"/>
  <c r="N25" i="8"/>
  <c r="P5" i="16"/>
  <c r="P7" i="16" s="1"/>
  <c r="Q4" i="16"/>
  <c r="Q4" i="15"/>
  <c r="P5" i="15"/>
  <c r="P7" i="15" s="1"/>
  <c r="O22" i="17"/>
  <c r="O24" i="17" s="1"/>
  <c r="O8" i="17"/>
  <c r="P5" i="17"/>
  <c r="P7" i="17" s="1"/>
  <c r="Q4" i="17"/>
  <c r="O22" i="14"/>
  <c r="O24" i="14" s="1"/>
  <c r="O8" i="14"/>
  <c r="P5" i="14"/>
  <c r="P7" i="14" s="1"/>
  <c r="Q4" i="14"/>
  <c r="O8" i="16"/>
  <c r="O22" i="16"/>
  <c r="O24" i="16" s="1"/>
  <c r="O8" i="15"/>
  <c r="O22" i="15"/>
  <c r="O24" i="15" s="1"/>
  <c r="R6" i="8" l="1"/>
  <c r="O25" i="8"/>
  <c r="R4" i="15"/>
  <c r="Q5" i="15"/>
  <c r="Q7" i="15" s="1"/>
  <c r="R4" i="14"/>
  <c r="Q5" i="14"/>
  <c r="Q7" i="14" s="1"/>
  <c r="P22" i="14"/>
  <c r="P24" i="14" s="1"/>
  <c r="P8" i="14"/>
  <c r="P8" i="15"/>
  <c r="P22" i="15"/>
  <c r="P24" i="15" s="1"/>
  <c r="Q5" i="17"/>
  <c r="Q7" i="17" s="1"/>
  <c r="R4" i="17"/>
  <c r="Q5" i="16"/>
  <c r="Q7" i="16" s="1"/>
  <c r="R4" i="16"/>
  <c r="P8" i="17"/>
  <c r="P22" i="17"/>
  <c r="P24" i="17" s="1"/>
  <c r="P8" i="16"/>
  <c r="P22" i="16"/>
  <c r="P24" i="16" s="1"/>
  <c r="S6" i="8" l="1"/>
  <c r="P25" i="8"/>
  <c r="R5" i="17"/>
  <c r="R7" i="17" s="1"/>
  <c r="S4" i="17"/>
  <c r="Q8" i="17"/>
  <c r="Q22" i="17"/>
  <c r="Q24" i="17" s="1"/>
  <c r="S4" i="14"/>
  <c r="R5" i="14"/>
  <c r="R7" i="14" s="1"/>
  <c r="Q8" i="16"/>
  <c r="Q22" i="16"/>
  <c r="Q24" i="16" s="1"/>
  <c r="Q22" i="14"/>
  <c r="Q24" i="14" s="1"/>
  <c r="Q8" i="14"/>
  <c r="Q8" i="15"/>
  <c r="Q22" i="15"/>
  <c r="Q24" i="15" s="1"/>
  <c r="R5" i="16"/>
  <c r="R7" i="16" s="1"/>
  <c r="S4" i="16"/>
  <c r="R5" i="15"/>
  <c r="R7" i="15" s="1"/>
  <c r="S4" i="15"/>
  <c r="T6" i="8" l="1"/>
  <c r="Q25" i="8"/>
  <c r="T4" i="14"/>
  <c r="S5" i="14"/>
  <c r="S7" i="14" s="1"/>
  <c r="R8" i="14"/>
  <c r="R22" i="14"/>
  <c r="R24" i="14" s="1"/>
  <c r="T4" i="15"/>
  <c r="S5" i="15"/>
  <c r="S7" i="15" s="1"/>
  <c r="R8" i="15"/>
  <c r="R22" i="15"/>
  <c r="R24" i="15" s="1"/>
  <c r="S5" i="16"/>
  <c r="S7" i="16" s="1"/>
  <c r="T4" i="16"/>
  <c r="T4" i="17"/>
  <c r="S5" i="17"/>
  <c r="S7" i="17" s="1"/>
  <c r="R8" i="16"/>
  <c r="R22" i="16"/>
  <c r="R24" i="16" s="1"/>
  <c r="R22" i="17"/>
  <c r="R24" i="17" s="1"/>
  <c r="R8" i="17"/>
  <c r="U6" i="8" l="1"/>
  <c r="R25" i="8"/>
  <c r="S8" i="15"/>
  <c r="S22" i="15"/>
  <c r="S24" i="15" s="1"/>
  <c r="T5" i="17"/>
  <c r="T7" i="17" s="1"/>
  <c r="U4" i="17"/>
  <c r="U4" i="15"/>
  <c r="T5" i="15"/>
  <c r="T7" i="15" s="1"/>
  <c r="U4" i="16"/>
  <c r="T5" i="16"/>
  <c r="T7" i="16" s="1"/>
  <c r="S8" i="16"/>
  <c r="S22" i="16"/>
  <c r="S24" i="16" s="1"/>
  <c r="S22" i="17"/>
  <c r="S24" i="17" s="1"/>
  <c r="S8" i="17"/>
  <c r="S8" i="14"/>
  <c r="S22" i="14"/>
  <c r="S24" i="14" s="1"/>
  <c r="T5" i="14"/>
  <c r="T7" i="14" s="1"/>
  <c r="U4" i="14"/>
  <c r="V6" i="8" l="1"/>
  <c r="S25" i="8"/>
  <c r="V4" i="17"/>
  <c r="U5" i="17"/>
  <c r="U7" i="17" s="1"/>
  <c r="T8" i="15"/>
  <c r="T22" i="15"/>
  <c r="T24" i="15" s="1"/>
  <c r="T8" i="17"/>
  <c r="T22" i="17"/>
  <c r="T24" i="17" s="1"/>
  <c r="T8" i="16"/>
  <c r="T22" i="16"/>
  <c r="T24" i="16" s="1"/>
  <c r="V4" i="15"/>
  <c r="U5" i="15"/>
  <c r="U7" i="15" s="1"/>
  <c r="U5" i="14"/>
  <c r="U7" i="14" s="1"/>
  <c r="V4" i="14"/>
  <c r="T8" i="14"/>
  <c r="T22" i="14"/>
  <c r="T24" i="14" s="1"/>
  <c r="U5" i="16"/>
  <c r="U7" i="16" s="1"/>
  <c r="V4" i="16"/>
  <c r="W6" i="8" l="1"/>
  <c r="T25" i="8"/>
  <c r="W4" i="16"/>
  <c r="V5" i="16"/>
  <c r="V7" i="16" s="1"/>
  <c r="U8" i="16"/>
  <c r="U22" i="16"/>
  <c r="U24" i="16" s="1"/>
  <c r="W4" i="15"/>
  <c r="V5" i="15"/>
  <c r="V7" i="15" s="1"/>
  <c r="U22" i="17"/>
  <c r="U24" i="17" s="1"/>
  <c r="U8" i="17"/>
  <c r="W4" i="14"/>
  <c r="V5" i="14"/>
  <c r="V7" i="14" s="1"/>
  <c r="U22" i="14"/>
  <c r="U24" i="14" s="1"/>
  <c r="U8" i="14"/>
  <c r="U8" i="15"/>
  <c r="U22" i="15"/>
  <c r="U24" i="15" s="1"/>
  <c r="W4" i="17"/>
  <c r="V5" i="17"/>
  <c r="V7" i="17" s="1"/>
  <c r="X6" i="8" l="1"/>
  <c r="U25" i="8"/>
  <c r="W5" i="15"/>
  <c r="W7" i="15" s="1"/>
  <c r="X4" i="15"/>
  <c r="V8" i="14"/>
  <c r="V22" i="14"/>
  <c r="V24" i="14" s="1"/>
  <c r="X4" i="17"/>
  <c r="W5" i="17"/>
  <c r="W7" i="17" s="1"/>
  <c r="X4" i="14"/>
  <c r="W5" i="14"/>
  <c r="W7" i="14" s="1"/>
  <c r="V8" i="15"/>
  <c r="V22" i="15"/>
  <c r="V24" i="15" s="1"/>
  <c r="V8" i="16"/>
  <c r="V22" i="16"/>
  <c r="V24" i="16" s="1"/>
  <c r="V22" i="17"/>
  <c r="V24" i="17" s="1"/>
  <c r="V8" i="17"/>
  <c r="W5" i="16"/>
  <c r="W7" i="16" s="1"/>
  <c r="X4" i="16"/>
  <c r="Y6" i="8" l="1"/>
  <c r="V25" i="8"/>
  <c r="W22" i="17"/>
  <c r="W24" i="17" s="1"/>
  <c r="W8" i="17"/>
  <c r="X5" i="17"/>
  <c r="X7" i="17" s="1"/>
  <c r="Y4" i="17"/>
  <c r="Y4" i="16"/>
  <c r="X5" i="16"/>
  <c r="X7" i="16" s="1"/>
  <c r="W8" i="16"/>
  <c r="W22" i="16"/>
  <c r="W24" i="16" s="1"/>
  <c r="W8" i="14"/>
  <c r="W22" i="14"/>
  <c r="W24" i="14" s="1"/>
  <c r="Y4" i="15"/>
  <c r="X5" i="15"/>
  <c r="X7" i="15" s="1"/>
  <c r="Y4" i="14"/>
  <c r="X5" i="14"/>
  <c r="X7" i="14" s="1"/>
  <c r="W8" i="15"/>
  <c r="W22" i="15"/>
  <c r="W24" i="15" s="1"/>
  <c r="Z6" i="8" l="1"/>
  <c r="W25" i="8"/>
  <c r="Y5" i="16"/>
  <c r="Y7" i="16" s="1"/>
  <c r="Z4" i="16"/>
  <c r="X8" i="17"/>
  <c r="X22" i="17"/>
  <c r="X24" i="17" s="1"/>
  <c r="X8" i="16"/>
  <c r="X22" i="16"/>
  <c r="X24" i="16" s="1"/>
  <c r="Y5" i="17"/>
  <c r="Y7" i="17" s="1"/>
  <c r="Z4" i="17"/>
  <c r="X8" i="14"/>
  <c r="X22" i="14"/>
  <c r="X24" i="14" s="1"/>
  <c r="X8" i="15"/>
  <c r="X22" i="15"/>
  <c r="X24" i="15" s="1"/>
  <c r="Y5" i="15"/>
  <c r="Y7" i="15" s="1"/>
  <c r="Z4" i="15"/>
  <c r="Z4" i="14"/>
  <c r="Y5" i="14"/>
  <c r="Y7" i="14" s="1"/>
  <c r="AA6" i="8" l="1"/>
  <c r="X25" i="8"/>
  <c r="Z5" i="14"/>
  <c r="Z7" i="14" s="1"/>
  <c r="AA4" i="14"/>
  <c r="AA4" i="15"/>
  <c r="Z5" i="15"/>
  <c r="Z7" i="15" s="1"/>
  <c r="AA4" i="17"/>
  <c r="Z5" i="17"/>
  <c r="Z7" i="17" s="1"/>
  <c r="AA4" i="16"/>
  <c r="Z5" i="16"/>
  <c r="Z7" i="16" s="1"/>
  <c r="Y22" i="14"/>
  <c r="Y24" i="14" s="1"/>
  <c r="Y8" i="14"/>
  <c r="Y8" i="15"/>
  <c r="Y22" i="15"/>
  <c r="Y24" i="15" s="1"/>
  <c r="Y22" i="17"/>
  <c r="Y24" i="17" s="1"/>
  <c r="Y8" i="17"/>
  <c r="Y8" i="16"/>
  <c r="Y22" i="16"/>
  <c r="Y24" i="16" s="1"/>
  <c r="AB6" i="8" l="1"/>
  <c r="Y25" i="8"/>
  <c r="Z22" i="17"/>
  <c r="Z24" i="17" s="1"/>
  <c r="Z8" i="17"/>
  <c r="AB4" i="17"/>
  <c r="AA5" i="17"/>
  <c r="AA7" i="17" s="1"/>
  <c r="AB4" i="15"/>
  <c r="AA5" i="15"/>
  <c r="AA7" i="15" s="1"/>
  <c r="Z8" i="15"/>
  <c r="Z22" i="15"/>
  <c r="Z24" i="15" s="1"/>
  <c r="Z8" i="16"/>
  <c r="Z22" i="16"/>
  <c r="Z24" i="16" s="1"/>
  <c r="AA5" i="14"/>
  <c r="AA7" i="14" s="1"/>
  <c r="AB4" i="14"/>
  <c r="AB4" i="16"/>
  <c r="AA5" i="16"/>
  <c r="AA7" i="16" s="1"/>
  <c r="Z22" i="14"/>
  <c r="Z24" i="14" s="1"/>
  <c r="Z8" i="14"/>
  <c r="AC6" i="8" l="1"/>
  <c r="Z25" i="8"/>
  <c r="AC4" i="15"/>
  <c r="AC5" i="15" s="1"/>
  <c r="AC7" i="15" s="1"/>
  <c r="AB5" i="15"/>
  <c r="AB7" i="15" s="1"/>
  <c r="AB5" i="17"/>
  <c r="AB7" i="17" s="1"/>
  <c r="AC4" i="17"/>
  <c r="AC5" i="17" s="1"/>
  <c r="AC7" i="17" s="1"/>
  <c r="AA8" i="15"/>
  <c r="AA22" i="15"/>
  <c r="AA24" i="15" s="1"/>
  <c r="AA8" i="16"/>
  <c r="AA22" i="16"/>
  <c r="AA24" i="16" s="1"/>
  <c r="AB5" i="14"/>
  <c r="AB7" i="14" s="1"/>
  <c r="AC4" i="14"/>
  <c r="AC5" i="14" s="1"/>
  <c r="AC7" i="14" s="1"/>
  <c r="AA8" i="14"/>
  <c r="AA22" i="14"/>
  <c r="AA24" i="14" s="1"/>
  <c r="AA8" i="17"/>
  <c r="AA22" i="17"/>
  <c r="AA24" i="17" s="1"/>
  <c r="AB5" i="16"/>
  <c r="AB7" i="16" s="1"/>
  <c r="AC4" i="16"/>
  <c r="AC5" i="16" s="1"/>
  <c r="AC7" i="16" s="1"/>
  <c r="AA25" i="8" l="1"/>
  <c r="AC8" i="16"/>
  <c r="AC22" i="16"/>
  <c r="AC24" i="16" s="1"/>
  <c r="AB8" i="16"/>
  <c r="AB22" i="16"/>
  <c r="AB24" i="16" s="1"/>
  <c r="AB8" i="14"/>
  <c r="AB22" i="14"/>
  <c r="AB24" i="14" s="1"/>
  <c r="AB8" i="17"/>
  <c r="AB22" i="17"/>
  <c r="AB24" i="17" s="1"/>
  <c r="AC8" i="14"/>
  <c r="AC22" i="14"/>
  <c r="AC24" i="14" s="1"/>
  <c r="AB8" i="15"/>
  <c r="AB22" i="15"/>
  <c r="AB24" i="15" s="1"/>
  <c r="AC22" i="17"/>
  <c r="AC24" i="17" s="1"/>
  <c r="AC8" i="17"/>
  <c r="AC8" i="15"/>
  <c r="AC22" i="15"/>
  <c r="AC24" i="15" s="1"/>
  <c r="AB25" i="8" l="1"/>
  <c r="AC25" i="8"/>
  <c r="F35" i="16"/>
  <c r="D27" i="14"/>
  <c r="F35" i="14"/>
  <c r="F31" i="14"/>
  <c r="F30" i="14"/>
  <c r="F33" i="14"/>
  <c r="F34" i="14"/>
  <c r="F32" i="14"/>
  <c r="F44" i="16"/>
  <c r="F86" i="16"/>
  <c r="D27" i="16"/>
  <c r="F88" i="16"/>
  <c r="F70" i="16"/>
  <c r="F85" i="16"/>
  <c r="F73" i="16"/>
  <c r="F58" i="16"/>
  <c r="F76" i="16"/>
  <c r="F84" i="16"/>
  <c r="F69" i="16"/>
  <c r="F51" i="16"/>
  <c r="F82" i="16"/>
  <c r="F75" i="16"/>
  <c r="F45" i="16"/>
  <c r="F53" i="16"/>
  <c r="F50" i="16"/>
  <c r="F78" i="16"/>
  <c r="F40" i="16"/>
  <c r="F56" i="16"/>
  <c r="F80" i="16"/>
  <c r="F32" i="16"/>
  <c r="F87" i="16"/>
  <c r="F55" i="16"/>
  <c r="F65" i="16"/>
  <c r="F64" i="16"/>
  <c r="F47" i="16"/>
  <c r="F31" i="16"/>
  <c r="F68" i="16"/>
  <c r="F72" i="16"/>
  <c r="F66" i="16"/>
  <c r="F34" i="16"/>
  <c r="F67" i="16"/>
  <c r="F52" i="16"/>
  <c r="F43" i="16"/>
  <c r="F62" i="16"/>
  <c r="F81" i="16"/>
  <c r="F79" i="16"/>
  <c r="F30" i="16"/>
  <c r="F48" i="16"/>
  <c r="F49" i="16"/>
  <c r="F36" i="16"/>
  <c r="F38" i="16"/>
  <c r="F33" i="16"/>
  <c r="F41" i="16"/>
  <c r="F42" i="16"/>
  <c r="F54" i="16"/>
  <c r="F39" i="16"/>
  <c r="F63" i="16"/>
  <c r="F60" i="16"/>
  <c r="F57" i="16"/>
  <c r="F59" i="16"/>
  <c r="F74" i="16"/>
  <c r="F37" i="16"/>
  <c r="F83" i="16"/>
  <c r="F77" i="16"/>
  <c r="F71" i="16"/>
  <c r="F61" i="16"/>
  <c r="F46" i="16"/>
  <c r="F33" i="15"/>
  <c r="F38" i="15"/>
  <c r="D27" i="15"/>
  <c r="F69" i="15"/>
  <c r="F34" i="15"/>
  <c r="F39" i="15"/>
  <c r="F61" i="15"/>
  <c r="F70" i="15"/>
  <c r="F43" i="15"/>
  <c r="F67" i="15"/>
  <c r="F73" i="15"/>
  <c r="F46" i="15"/>
  <c r="F71" i="15"/>
  <c r="F63" i="15"/>
  <c r="F51" i="15"/>
  <c r="F40" i="15"/>
  <c r="F42" i="15"/>
  <c r="F41" i="15"/>
  <c r="F45" i="15"/>
  <c r="F36" i="15"/>
  <c r="F52" i="15"/>
  <c r="F64" i="15"/>
  <c r="F66" i="15"/>
  <c r="F55" i="15"/>
  <c r="F54" i="15"/>
  <c r="F47" i="15"/>
  <c r="F60" i="15"/>
  <c r="F31" i="15"/>
  <c r="F49" i="15"/>
  <c r="F37" i="15"/>
  <c r="F48" i="15"/>
  <c r="F32" i="15"/>
  <c r="F59" i="15"/>
  <c r="F53" i="15"/>
  <c r="F58" i="15"/>
  <c r="F30" i="15"/>
  <c r="F57" i="15"/>
  <c r="F44" i="15"/>
  <c r="F68" i="15"/>
  <c r="F62" i="15"/>
  <c r="F72" i="15"/>
  <c r="F65" i="15"/>
  <c r="F56" i="15"/>
  <c r="F50" i="15"/>
  <c r="F35" i="15"/>
  <c r="D27" i="17"/>
  <c r="F34" i="17"/>
  <c r="F30" i="17"/>
  <c r="F74" i="17"/>
  <c r="F65" i="17"/>
  <c r="F55" i="17"/>
  <c r="F88" i="17"/>
  <c r="F47" i="17"/>
  <c r="F72" i="17"/>
  <c r="F56" i="17"/>
  <c r="F61" i="17"/>
  <c r="F39" i="17"/>
  <c r="F59" i="17"/>
  <c r="F87" i="17"/>
  <c r="F43" i="17"/>
  <c r="F80" i="17"/>
  <c r="F58" i="17"/>
  <c r="F42" i="17"/>
  <c r="F85" i="17"/>
  <c r="F40" i="17"/>
  <c r="F78" i="17"/>
  <c r="F66" i="17"/>
  <c r="F57" i="17"/>
  <c r="F70" i="17"/>
  <c r="F35" i="17"/>
  <c r="F67" i="17"/>
  <c r="F86" i="17"/>
  <c r="F81" i="17"/>
  <c r="F62" i="17"/>
  <c r="F45" i="17"/>
  <c r="F31" i="17"/>
  <c r="F50" i="17"/>
  <c r="F75" i="17"/>
  <c r="F83" i="17"/>
  <c r="F84" i="17"/>
  <c r="F77" i="17"/>
  <c r="F41" i="17"/>
  <c r="F46" i="17"/>
  <c r="F69" i="17"/>
  <c r="F60" i="17"/>
  <c r="F54" i="17"/>
  <c r="F53" i="17"/>
  <c r="F38" i="17"/>
  <c r="F37" i="17"/>
  <c r="F49" i="17"/>
  <c r="F52" i="17"/>
  <c r="F76" i="17"/>
  <c r="F73" i="17"/>
  <c r="F82" i="17"/>
  <c r="F48" i="17"/>
  <c r="F63" i="17"/>
  <c r="F36" i="17"/>
  <c r="F71" i="17"/>
  <c r="F79" i="17"/>
  <c r="F51" i="17"/>
  <c r="F64" i="17"/>
  <c r="F68" i="17"/>
  <c r="F44" i="17"/>
  <c r="F33" i="17"/>
  <c r="F32" i="17"/>
  <c r="J4" i="18" l="1"/>
  <c r="E5" i="8" s="1"/>
  <c r="E7" i="8" l="1"/>
  <c r="E11" i="8"/>
  <c r="E13" i="8"/>
  <c r="F5" i="8"/>
  <c r="F13" i="8" l="1"/>
  <c r="G5" i="8"/>
  <c r="F11" i="8"/>
  <c r="F19" i="8" s="1"/>
  <c r="F7" i="8"/>
  <c r="E19" i="8"/>
  <c r="E27" i="8" s="1"/>
  <c r="F27" i="8" l="1"/>
  <c r="F29" i="8" s="1"/>
  <c r="E29" i="8"/>
  <c r="G13" i="8"/>
  <c r="H5" i="8"/>
  <c r="G11" i="8"/>
  <c r="G7" i="8"/>
  <c r="G19" i="8" l="1"/>
  <c r="G27" i="8" s="1"/>
  <c r="G29" i="8" s="1"/>
  <c r="H13" i="8"/>
  <c r="I5" i="8"/>
  <c r="H11" i="8"/>
  <c r="H7" i="8"/>
  <c r="H19" i="8" l="1"/>
  <c r="H27" i="8" s="1"/>
  <c r="H29" i="8" s="1"/>
  <c r="I13" i="8"/>
  <c r="J5" i="8"/>
  <c r="I11" i="8"/>
  <c r="I7" i="8"/>
  <c r="I19" i="8" l="1"/>
  <c r="I27" i="8" s="1"/>
  <c r="I29" i="8" s="1"/>
  <c r="J13" i="8"/>
  <c r="K5" i="8"/>
  <c r="J11" i="8"/>
  <c r="J7" i="8"/>
  <c r="J19" i="8" l="1"/>
  <c r="J27" i="8" s="1"/>
  <c r="J29" i="8" s="1"/>
  <c r="K13" i="8"/>
  <c r="L5" i="8"/>
  <c r="K11" i="8"/>
  <c r="K7" i="8"/>
  <c r="K19" i="8" l="1"/>
  <c r="K27" i="8" s="1"/>
  <c r="K29" i="8" s="1"/>
  <c r="L13" i="8"/>
  <c r="M5" i="8"/>
  <c r="L11" i="8"/>
  <c r="L7" i="8"/>
  <c r="L19" i="8" l="1"/>
  <c r="L27" i="8" s="1"/>
  <c r="L29" i="8" s="1"/>
  <c r="M13" i="8"/>
  <c r="N5" i="8"/>
  <c r="M11" i="8"/>
  <c r="M7" i="8"/>
  <c r="M19" i="8" l="1"/>
  <c r="M27" i="8" s="1"/>
  <c r="M29" i="8" s="1"/>
  <c r="N13" i="8"/>
  <c r="O5" i="8"/>
  <c r="N11" i="8"/>
  <c r="N7" i="8"/>
  <c r="N19" i="8" l="1"/>
  <c r="N27" i="8" s="1"/>
  <c r="N29" i="8" s="1"/>
  <c r="O13" i="8"/>
  <c r="P5" i="8"/>
  <c r="O11" i="8"/>
  <c r="O7" i="8"/>
  <c r="O19" i="8" l="1"/>
  <c r="O27" i="8" s="1"/>
  <c r="O29" i="8" s="1"/>
  <c r="P13" i="8"/>
  <c r="Q5" i="8"/>
  <c r="P11" i="8"/>
  <c r="P19" i="8" s="1"/>
  <c r="P7" i="8"/>
  <c r="P27" i="8" l="1"/>
  <c r="P29" i="8" s="1"/>
  <c r="Q13" i="8"/>
  <c r="R5" i="8"/>
  <c r="Q11" i="8"/>
  <c r="Q7" i="8"/>
  <c r="Q19" i="8" l="1"/>
  <c r="Q27" i="8" s="1"/>
  <c r="Q29" i="8" s="1"/>
  <c r="R13" i="8"/>
  <c r="S5" i="8"/>
  <c r="R11" i="8"/>
  <c r="R7" i="8"/>
  <c r="R19" i="8" l="1"/>
  <c r="R27" i="8" s="1"/>
  <c r="R29" i="8" s="1"/>
  <c r="S13" i="8"/>
  <c r="T5" i="8"/>
  <c r="S11" i="8"/>
  <c r="S7" i="8"/>
  <c r="S19" i="8" l="1"/>
  <c r="S27" i="8" s="1"/>
  <c r="S29" i="8" s="1"/>
  <c r="T13" i="8"/>
  <c r="U5" i="8"/>
  <c r="T11" i="8"/>
  <c r="T7" i="8"/>
  <c r="T19" i="8" l="1"/>
  <c r="T27" i="8" s="1"/>
  <c r="T29" i="8" s="1"/>
  <c r="U13" i="8"/>
  <c r="V5" i="8"/>
  <c r="U11" i="8"/>
  <c r="U7" i="8"/>
  <c r="U19" i="8" l="1"/>
  <c r="U27" i="8" s="1"/>
  <c r="U29" i="8" s="1"/>
  <c r="V13" i="8"/>
  <c r="W5" i="8"/>
  <c r="V11" i="8"/>
  <c r="V7" i="8"/>
  <c r="V19" i="8" l="1"/>
  <c r="V27" i="8" s="1"/>
  <c r="V29" i="8" s="1"/>
  <c r="W13" i="8"/>
  <c r="X5" i="8"/>
  <c r="W11" i="8"/>
  <c r="W7" i="8"/>
  <c r="W19" i="8" l="1"/>
  <c r="W27" i="8" s="1"/>
  <c r="W29" i="8" s="1"/>
  <c r="X13" i="8"/>
  <c r="Y5" i="8"/>
  <c r="X11" i="8"/>
  <c r="X19" i="8" s="1"/>
  <c r="X7" i="8"/>
  <c r="X27" i="8" l="1"/>
  <c r="X29" i="8" s="1"/>
  <c r="Y13" i="8"/>
  <c r="Z5" i="8"/>
  <c r="Y11" i="8"/>
  <c r="Y7" i="8"/>
  <c r="Y19" i="8" l="1"/>
  <c r="Y27" i="8" s="1"/>
  <c r="Y29" i="8" s="1"/>
  <c r="Z13" i="8"/>
  <c r="AA5" i="8"/>
  <c r="Z11" i="8"/>
  <c r="Z19" i="8" s="1"/>
  <c r="Z7" i="8"/>
  <c r="Z27" i="8" l="1"/>
  <c r="Z29" i="8" s="1"/>
  <c r="AA13" i="8"/>
  <c r="AB5" i="8"/>
  <c r="AA11" i="8"/>
  <c r="AA7" i="8"/>
  <c r="AA19" i="8" l="1"/>
  <c r="AA27" i="8" s="1"/>
  <c r="AA29" i="8" s="1"/>
  <c r="AB13" i="8"/>
  <c r="AC5" i="8"/>
  <c r="AB11" i="8"/>
  <c r="AB19" i="8" s="1"/>
  <c r="AB7" i="8"/>
  <c r="AB27" i="8" l="1"/>
  <c r="AB29" i="8" s="1"/>
  <c r="AC13" i="8"/>
  <c r="AC11" i="8"/>
  <c r="AC7" i="8"/>
  <c r="AC19" i="8" l="1"/>
  <c r="AC27" i="8" s="1"/>
  <c r="D33" i="8" l="1"/>
  <c r="F44" i="8" s="1"/>
  <c r="F66" i="8"/>
  <c r="F59" i="8"/>
  <c r="F48" i="8"/>
  <c r="F49" i="8"/>
  <c r="F60" i="8"/>
  <c r="F65" i="8"/>
  <c r="F42" i="8"/>
  <c r="F64" i="8"/>
  <c r="F47" i="8"/>
  <c r="D32" i="8"/>
  <c r="F55" i="8"/>
  <c r="AC29" i="8"/>
  <c r="F62" i="8"/>
  <c r="F54" i="8"/>
  <c r="F41" i="8"/>
  <c r="F57" i="8"/>
  <c r="F63" i="8"/>
  <c r="F36" i="8"/>
  <c r="F61" i="8"/>
  <c r="F53" i="8"/>
  <c r="F40" i="8"/>
  <c r="F58" i="8"/>
  <c r="F52" i="8"/>
  <c r="F46" i="8"/>
  <c r="F39" i="8"/>
  <c r="F51" i="8"/>
  <c r="F45" i="8"/>
  <c r="F38" i="8"/>
  <c r="F56" i="8"/>
  <c r="F50" i="8"/>
  <c r="F43" i="8"/>
  <c r="F37" i="8"/>
  <c r="F71" i="8" l="1"/>
  <c r="F74" i="8"/>
  <c r="F76" i="8"/>
  <c r="F77" i="8"/>
  <c r="F75" i="8"/>
  <c r="F68" i="8"/>
  <c r="F72" i="8"/>
  <c r="F69" i="8"/>
  <c r="F67" i="8"/>
  <c r="F73" i="8"/>
  <c r="F7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Hayder Ramiro  Rincon Ruiz</author>
  </authors>
  <commentList>
    <comment ref="J31" authorId="0" shapeId="0" xr:uid="{A85AD3BE-2D50-44BA-B287-14DA99901C6D}">
      <text>
        <r>
          <rPr>
            <b/>
            <sz val="9"/>
            <color indexed="81"/>
            <rFont val="Tahoma"/>
            <family val="2"/>
          </rPr>
          <t>Costo de la electricidad.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Hayder Ramiro  Rincon Ruiz</author>
  </authors>
  <commentList>
    <comment ref="C8" authorId="0" shapeId="0" xr:uid="{181E90D1-A583-4F38-B8B5-61937DE6195C}">
      <text>
        <r>
          <rPr>
            <b/>
            <sz val="9"/>
            <color indexed="81"/>
            <rFont val="Tahoma"/>
            <family val="2"/>
          </rPr>
          <t>Costo de la electricidad.</t>
        </r>
      </text>
    </comment>
    <comment ref="C13" authorId="0" shapeId="0" xr:uid="{906DAD0A-4FC1-4855-A5B1-5BD1D733B893}">
      <text>
        <r>
          <rPr>
            <b/>
            <sz val="9"/>
            <color indexed="81"/>
            <rFont val="Tahoma"/>
            <family val="2"/>
          </rPr>
          <t>Costos de instalación.</t>
        </r>
      </text>
    </comment>
    <comment ref="C14" authorId="0" shapeId="0" xr:uid="{8DE89C63-B249-4F31-9133-67F237EE5224}">
      <text>
        <r>
          <rPr>
            <b/>
            <sz val="9"/>
            <color indexed="81"/>
            <rFont val="Tahoma"/>
            <family val="2"/>
          </rPr>
          <t>Eficiencia del electrolizador</t>
        </r>
      </text>
    </comment>
    <comment ref="I18" authorId="0" shapeId="0" xr:uid="{88CCCB89-73FE-4BC6-A60E-53E5F17B3500}">
      <text>
        <r>
          <rPr>
            <b/>
            <sz val="9"/>
            <color indexed="81"/>
            <rFont val="Tahoma"/>
            <family val="2"/>
          </rPr>
          <t xml:space="preserve">Nos permite sacar los valores descontados.
Factor para multiplcar y Traer todo a valor presente.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Fransiner Ricardo Ibañez Peña</author>
  </authors>
  <commentList>
    <comment ref="C3" authorId="0" shapeId="0" xr:uid="{027C35DF-1C5A-41E3-8089-BE8B40452735}">
      <text>
        <r>
          <rPr>
            <sz val="11"/>
            <color theme="1"/>
            <rFont val="Calibri"/>
            <family val="2"/>
            <scheme val="minor"/>
          </rPr>
          <t>Aquí se ingresa el valor del electrolizador</t>
        </r>
      </text>
    </comment>
    <comment ref="C10" authorId="0" shapeId="0" xr:uid="{5ED05429-0C39-44EF-B920-FCC464576D8D}">
      <text>
        <r>
          <rPr>
            <sz val="11"/>
            <color theme="1"/>
            <rFont val="Calibri"/>
            <family val="2"/>
            <scheme val="minor"/>
          </rPr>
          <t>Aquí se agrupan los costos de manufactura, Iridio, Membrana PFSA y Platino</t>
        </r>
      </text>
    </comment>
  </commentList>
</comments>
</file>

<file path=xl/sharedStrings.xml><?xml version="1.0" encoding="utf-8"?>
<sst xmlns="http://schemas.openxmlformats.org/spreadsheetml/2006/main" count="510" uniqueCount="240">
  <si>
    <t>ELECTROLIZADOR EL100N</t>
  </si>
  <si>
    <t xml:space="preserve">OPCIÓN </t>
  </si>
  <si>
    <t>ELECTROLIZADOR kW</t>
  </si>
  <si>
    <t>CAPEX</t>
  </si>
  <si>
    <t>CAPACIDAD kW</t>
  </si>
  <si>
    <t>OPEX</t>
  </si>
  <si>
    <t>CAPEX USD/kWh</t>
  </si>
  <si>
    <t>OPEX USD/kWh</t>
  </si>
  <si>
    <t>% ELECTROLIZADOR /CAPEX</t>
  </si>
  <si>
    <t>ACTIVO/ ACTIVIDAD</t>
  </si>
  <si>
    <t>CANTIDAD</t>
  </si>
  <si>
    <t>VALOR UNITARIO USD</t>
  </si>
  <si>
    <t>VALOR TOTAL USD</t>
  </si>
  <si>
    <t>EL100N</t>
  </si>
  <si>
    <t>Parque FV</t>
  </si>
  <si>
    <t>EL200N</t>
  </si>
  <si>
    <t xml:space="preserve">Electrolizador </t>
  </si>
  <si>
    <t>EL400N</t>
  </si>
  <si>
    <t>Compresores</t>
  </si>
  <si>
    <t>EL600N</t>
  </si>
  <si>
    <t>Tanques Almacenamiento</t>
  </si>
  <si>
    <t>EL100N+EL200N</t>
  </si>
  <si>
    <t>Obras Civiles</t>
  </si>
  <si>
    <t>Componentes stack</t>
  </si>
  <si>
    <t>Valor CAPEX</t>
  </si>
  <si>
    <t>Gerenciamiento proyecto</t>
  </si>
  <si>
    <t>Imprevistos</t>
  </si>
  <si>
    <t>Mantenimiento del activo</t>
  </si>
  <si>
    <t>Valor OPEX</t>
  </si>
  <si>
    <t xml:space="preserve">VALOR TOTA DEL PROYECTO </t>
  </si>
  <si>
    <t>ELECTROLIZADOR EL200N</t>
  </si>
  <si>
    <t>LEY 1715-2014</t>
  </si>
  <si>
    <t>Declaración de renta</t>
  </si>
  <si>
    <t>IVA</t>
  </si>
  <si>
    <t xml:space="preserve">Depreciación </t>
  </si>
  <si>
    <t>Incentivo Arancelario</t>
  </si>
  <si>
    <t>art 11</t>
  </si>
  <si>
    <t>art 12</t>
  </si>
  <si>
    <t>art 14</t>
  </si>
  <si>
    <t>art 13</t>
  </si>
  <si>
    <t>EL100N-EL200N</t>
  </si>
  <si>
    <t>LCOE</t>
  </si>
  <si>
    <t>ELECTROLIZADOR EL400N</t>
  </si>
  <si>
    <t>ELECTROLIZADOR EL600N</t>
  </si>
  <si>
    <t>ELECTROLIZADOR EL100N+ EL200N</t>
  </si>
  <si>
    <t>Electrolizador EL100N</t>
  </si>
  <si>
    <t>Electrolizador ELN200N</t>
  </si>
  <si>
    <t>Modelo</t>
  </si>
  <si>
    <r>
      <t>Producción H</t>
    </r>
    <r>
      <rPr>
        <b/>
        <vertAlign val="subscript"/>
        <sz val="12"/>
        <color rgb="FF000000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kg Nominal</t>
    </r>
  </si>
  <si>
    <t>Power (boP+Stac)k</t>
  </si>
  <si>
    <t xml:space="preserve">Factor de descarga </t>
  </si>
  <si>
    <t>Horas de funcionamineto estimada</t>
  </si>
  <si>
    <t>Consumo total de energía kWh</t>
  </si>
  <si>
    <t>Consumo promedio de energía kWh</t>
  </si>
  <si>
    <t>Consumo Electrico Ez</t>
  </si>
  <si>
    <t>Producción estimada día real</t>
  </si>
  <si>
    <t>Producción /hora H2 kg</t>
  </si>
  <si>
    <t>Consumo de agua requerida de la llave (water tap) L/h</t>
  </si>
  <si>
    <t>consumo (m³/h)</t>
  </si>
  <si>
    <t>Consumo/ funcionamineto  (m³/kgH₂)</t>
  </si>
  <si>
    <t xml:space="preserve">Observación </t>
  </si>
  <si>
    <t xml:space="preserve">item </t>
  </si>
  <si>
    <t xml:space="preserve">Descripción </t>
  </si>
  <si>
    <t>Cantidad</t>
  </si>
  <si>
    <t xml:space="preserve">Precio Unitario </t>
  </si>
  <si>
    <t>Total COP</t>
  </si>
  <si>
    <t>Panel Solar</t>
  </si>
  <si>
    <t>700 W</t>
  </si>
  <si>
    <t>Inversor</t>
  </si>
  <si>
    <t>100 kW</t>
  </si>
  <si>
    <t>Trasnporte</t>
  </si>
  <si>
    <t xml:space="preserve">Se estima el 5% del valor del Panel </t>
  </si>
  <si>
    <t>Instalación</t>
  </si>
  <si>
    <t xml:space="preserve">Se estima el 40% del valor del Panel </t>
  </si>
  <si>
    <t>Cable Panel</t>
  </si>
  <si>
    <t>cable de 10 mt</t>
  </si>
  <si>
    <t xml:space="preserve">Imprevistos </t>
  </si>
  <si>
    <t xml:space="preserve">Total </t>
  </si>
  <si>
    <t>TRM</t>
  </si>
  <si>
    <t xml:space="preserve">Capacidad anual de </t>
  </si>
  <si>
    <t xml:space="preserve">kWh </t>
  </si>
  <si>
    <t>Variable</t>
  </si>
  <si>
    <t>Valor</t>
  </si>
  <si>
    <t>Unidad</t>
  </si>
  <si>
    <t>FLUJO DE CAJA</t>
  </si>
  <si>
    <t>Factor de descuento</t>
  </si>
  <si>
    <t>%</t>
  </si>
  <si>
    <t>DE COSTOS</t>
  </si>
  <si>
    <t>Factor de carga Ez</t>
  </si>
  <si>
    <t xml:space="preserve">Capacidad </t>
  </si>
  <si>
    <t>kW</t>
  </si>
  <si>
    <t xml:space="preserve">Totales </t>
  </si>
  <si>
    <t>Año</t>
  </si>
  <si>
    <t>Costo del agua</t>
  </si>
  <si>
    <t>USD/M3</t>
  </si>
  <si>
    <t>Costos nominales USD</t>
  </si>
  <si>
    <t>CAPEX Ez</t>
  </si>
  <si>
    <t>USD/kw</t>
  </si>
  <si>
    <t>OPEX Ez</t>
  </si>
  <si>
    <t>% CAPEX/año</t>
  </si>
  <si>
    <t>O&amp;M</t>
  </si>
  <si>
    <t>% CAPEX</t>
  </si>
  <si>
    <t>Electricidad</t>
  </si>
  <si>
    <t>Costos adicionales de inversión</t>
  </si>
  <si>
    <t>Agua</t>
  </si>
  <si>
    <t>Total</t>
  </si>
  <si>
    <t>Consumo Agua Ez</t>
  </si>
  <si>
    <t>M3/KgH2</t>
  </si>
  <si>
    <t>Vida Util Stack</t>
  </si>
  <si>
    <t>Horas</t>
  </si>
  <si>
    <t>Producción H2 (kg)</t>
  </si>
  <si>
    <t>Años</t>
  </si>
  <si>
    <t>Factor de Descuento</t>
  </si>
  <si>
    <t>En 2024, el precio promedio de la energía en Colombia ha variado dependiendo del tipo de mercado. Para el mercado regulado, que incluye el consumo residencial y pequeños negocios, el precio promedio en contratos para septiembre fue de 320.82 COP/kWh. Para el mercado no regulado, que incluye a la industria y el comercio, el precio promedio fue de 308.13 COP/kWh​</t>
  </si>
  <si>
    <t>Costos Descontados</t>
  </si>
  <si>
    <t>Fuente: XM</t>
  </si>
  <si>
    <t>RESULTADOS LCOH</t>
  </si>
  <si>
    <t>LCOH TOTAL (USD/kg)</t>
  </si>
  <si>
    <t>EL Costo al cual vendo tengo 0 ganancias</t>
  </si>
  <si>
    <t>Datos para Grafica</t>
  </si>
  <si>
    <t>TOTAL</t>
  </si>
  <si>
    <t>Electrolizador</t>
  </si>
  <si>
    <t xml:space="preserve">ELECTROLIZADOR </t>
  </si>
  <si>
    <t>DATA SHEET</t>
  </si>
  <si>
    <t>PRECIOS</t>
  </si>
  <si>
    <t>USD</t>
  </si>
  <si>
    <t>año</t>
  </si>
  <si>
    <t>ingresos</t>
  </si>
  <si>
    <t>Producción kg NH2 día</t>
  </si>
  <si>
    <t>USD$/kg H2</t>
  </si>
  <si>
    <t>Total Ingresos</t>
  </si>
  <si>
    <t>Rescate</t>
  </si>
  <si>
    <t>Gastos</t>
  </si>
  <si>
    <t>Agua consumo (m³/kgH₂)</t>
  </si>
  <si>
    <t xml:space="preserve">Costo del agua </t>
  </si>
  <si>
    <t>Consumo electrico</t>
  </si>
  <si>
    <t>Costo electrico</t>
  </si>
  <si>
    <t>Desmantelamiento</t>
  </si>
  <si>
    <t>Costo cierre</t>
  </si>
  <si>
    <t>Impuestos</t>
  </si>
  <si>
    <t>Base para impuesto</t>
  </si>
  <si>
    <t xml:space="preserve">Deprecición </t>
  </si>
  <si>
    <t>credit Impuesto</t>
  </si>
  <si>
    <t>total para impuesto</t>
  </si>
  <si>
    <t>Valor a pagar</t>
  </si>
  <si>
    <t>Flujo caja</t>
  </si>
  <si>
    <t>Tasa de descuento</t>
  </si>
  <si>
    <t>Valor presente</t>
  </si>
  <si>
    <t xml:space="preserve">Flujo de caja anual </t>
  </si>
  <si>
    <t>Tasa interna de retorno</t>
  </si>
  <si>
    <t>Payback</t>
  </si>
  <si>
    <t>Tasa Descuento</t>
  </si>
  <si>
    <t>VPN</t>
  </si>
  <si>
    <t>Año 15</t>
  </si>
  <si>
    <t>Opción</t>
  </si>
  <si>
    <t>TIR</t>
  </si>
  <si>
    <t>VPN (USD)</t>
  </si>
  <si>
    <t>Ingresos</t>
  </si>
  <si>
    <t>Producción kg NH2</t>
  </si>
  <si>
    <t>Ventas</t>
  </si>
  <si>
    <t>Inversion</t>
  </si>
  <si>
    <t>Costos Fijos</t>
  </si>
  <si>
    <t>Costos Variables</t>
  </si>
  <si>
    <t>Amortizacion</t>
  </si>
  <si>
    <t>Valor presente neto</t>
  </si>
  <si>
    <t>kg NH2</t>
  </si>
  <si>
    <t>Interes_prestamo</t>
  </si>
  <si>
    <t>Pago_prestamo</t>
  </si>
  <si>
    <t>Datos de</t>
  </si>
  <si>
    <t>Electrolizador /Fuente</t>
  </si>
  <si>
    <t>Propia</t>
  </si>
  <si>
    <t>Gallardo-2022</t>
  </si>
  <si>
    <t>GIZ 2018</t>
  </si>
  <si>
    <t>In - data 2019</t>
  </si>
  <si>
    <t>Implementa Sur 2019</t>
  </si>
  <si>
    <t>Tractebel - Engie 2018</t>
  </si>
  <si>
    <t>Julien Armijo IEA 2019</t>
  </si>
  <si>
    <t>Cobo Angel et al2022</t>
  </si>
  <si>
    <t>Potencial de oferta de H2 en Colombia</t>
  </si>
  <si>
    <t>EMISIONES DIRECTAS DE GEI - ALCANCE 1</t>
  </si>
  <si>
    <t>FE CO2 (extraído de tabla 5 y 6 del Informe final FECOC)</t>
  </si>
  <si>
    <t>Descripción</t>
  </si>
  <si>
    <t>Emisiones CO2 (TnCO2)</t>
  </si>
  <si>
    <t>Emisiones otros GEI (TnCO2 e)</t>
  </si>
  <si>
    <t>Emisiones GEI (TnCO2 e)</t>
  </si>
  <si>
    <t>Combustible</t>
  </si>
  <si>
    <t>gCO2/m3</t>
  </si>
  <si>
    <t>Combustión fija</t>
  </si>
  <si>
    <t> </t>
  </si>
  <si>
    <t>Biodiesel palma</t>
  </si>
  <si>
    <t>Combustión Móvil</t>
  </si>
  <si>
    <t>Gasolina motor</t>
  </si>
  <si>
    <t>Emisiones fugitivas</t>
  </si>
  <si>
    <t>Diesel</t>
  </si>
  <si>
    <t>Total (TnCO2 e)</t>
  </si>
  <si>
    <t>Gasolina comercial</t>
  </si>
  <si>
    <t>No se manipula</t>
  </si>
  <si>
    <t>Se ingresan datos</t>
  </si>
  <si>
    <t>Emisiones de GEI (t GEI)</t>
  </si>
  <si>
    <t>Dato de actividad</t>
  </si>
  <si>
    <t>Factor de Emisión</t>
  </si>
  <si>
    <t>Costos de un electrolizador PEM (en USD)</t>
  </si>
  <si>
    <t>PEM Ez Cost Breakdown</t>
  </si>
  <si>
    <t>$ 1.500.000</t>
  </si>
  <si>
    <t>Stack components</t>
  </si>
  <si>
    <t xml:space="preserve"> $            675.000</t>
  </si>
  <si>
    <t>Balance of Plant</t>
  </si>
  <si>
    <t xml:space="preserve"> $            825.000</t>
  </si>
  <si>
    <t>Bipolar plates (BPs)</t>
  </si>
  <si>
    <t xml:space="preserve"> $            354.375</t>
  </si>
  <si>
    <t>Power supply</t>
  </si>
  <si>
    <t xml:space="preserve"> $            412.500</t>
  </si>
  <si>
    <t>Porous Transport Layer (PTLs)</t>
  </si>
  <si>
    <t xml:space="preserve"> $            111.375</t>
  </si>
  <si>
    <t>Deionised water circulation</t>
  </si>
  <si>
    <t xml:space="preserve"> $            181.500</t>
  </si>
  <si>
    <t>Small parts (sealing, frames)</t>
  </si>
  <si>
    <t xml:space="preserve"> $               16.875</t>
  </si>
  <si>
    <t>Hydrogen processing</t>
  </si>
  <si>
    <t xml:space="preserve"> $            165.000</t>
  </si>
  <si>
    <t>Stack assembly and end plates</t>
  </si>
  <si>
    <t>Cooling</t>
  </si>
  <si>
    <t xml:space="preserve"> $               66.000</t>
  </si>
  <si>
    <t>Protective coating BPs</t>
  </si>
  <si>
    <t xml:space="preserve"> $               13.500</t>
  </si>
  <si>
    <t>Catalyst Coated Membrane</t>
  </si>
  <si>
    <t xml:space="preserve"> $            162.000</t>
  </si>
  <si>
    <t>Manufacturing</t>
  </si>
  <si>
    <t xml:space="preserve"> $               68.040</t>
  </si>
  <si>
    <t>Iridium</t>
  </si>
  <si>
    <t xml:space="preserve"> $               38.880</t>
  </si>
  <si>
    <t>PFSA Membrane</t>
  </si>
  <si>
    <t xml:space="preserve"> $               34.020</t>
  </si>
  <si>
    <t>Platinum</t>
  </si>
  <si>
    <t xml:space="preserve"> $               21.060</t>
  </si>
  <si>
    <t xml:space="preserve"> $                             285.768.000</t>
  </si>
  <si>
    <t xml:space="preserve"> $                             142.884.000</t>
  </si>
  <si>
    <t>BESS</t>
  </si>
  <si>
    <t>USD/kWh</t>
  </si>
  <si>
    <t>kWh/kgH2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</si>
</sst>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"/>
    <numFmt numFmtId="166" formatCode="0.0000"/>
    <numFmt numFmtId="167" formatCode="_-* #,##0_-;\-* #,##0_-;_-* &quot;-&quot;??_-;_-@_-"/>
    <numFmt numFmtId="168" formatCode="0.0%"/>
    <numFmt numFmtId="169" formatCode="_-&quot;$&quot;\ * #,##0_-;\-&quot;$&quot;\ * #,##0_-;_-&quot;$&quot;\ * &quot;-&quot;??_-;_-@_-"/>
    <numFmt numFmtId="170" formatCode="0.0"/>
    <numFmt numFmtId="171" formatCode="#,##0.000"/>
    <numFmt numFmtId="172" formatCode="#,##0.0000"/>
    <numFmt numFmtId="173" formatCode="0.000"/>
    <numFmt numFmtId="174" formatCode="_-[$$-409]* #,##0_ ;_-[$$-409]* \-#,##0\ ;_-[$$-409]* &quot;-&quot;??_ ;_-@_ 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0"/>
      <name val="Calibri"/>
      <family val="2"/>
      <scheme val="minor"/>
    </font>
    <font>
      <b/>
      <sz val="12"/>
      <color rgb="FF000000"/>
      <name val="Times New Roman"/>
      <family val="1"/>
    </font>
    <font>
      <b/>
      <vertAlign val="subscript"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242424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C9C9C9"/>
        <bgColor rgb="FF000000"/>
      </patternFill>
    </fill>
    <fill>
      <patternFill patternType="solid">
        <fgColor rgb="FF548235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375623"/>
        <bgColor rgb="FF000000"/>
      </patternFill>
    </fill>
    <fill>
      <patternFill patternType="solid">
        <fgColor rgb="FF1F4E78"/>
        <bgColor rgb="FF000000"/>
      </patternFill>
    </fill>
    <fill>
      <patternFill patternType="solid">
        <fgColor rgb="FF70AD47"/>
        <bgColor rgb="FF000000"/>
      </patternFill>
    </fill>
    <fill>
      <patternFill patternType="solid">
        <fgColor rgb="FF5B9BD5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0" fillId="0" borderId="0" xfId="0" applyNumberFormat="1"/>
    <xf numFmtId="0" fontId="1" fillId="0" borderId="0" xfId="0" applyFont="1" applyAlignment="1">
      <alignment horizontal="left" vertical="center" indent="1"/>
    </xf>
    <xf numFmtId="9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3" fontId="0" fillId="0" borderId="0" xfId="0" applyNumberFormat="1"/>
    <xf numFmtId="0" fontId="1" fillId="4" borderId="0" xfId="0" applyFont="1" applyFill="1"/>
    <xf numFmtId="0" fontId="0" fillId="4" borderId="0" xfId="0" applyFill="1"/>
    <xf numFmtId="0" fontId="0" fillId="0" borderId="0" xfId="0" applyAlignment="1">
      <alignment horizontal="right"/>
    </xf>
    <xf numFmtId="0" fontId="1" fillId="0" borderId="0" xfId="0" applyFont="1"/>
    <xf numFmtId="4" fontId="0" fillId="0" borderId="0" xfId="0" applyNumberFormat="1"/>
    <xf numFmtId="0" fontId="6" fillId="0" borderId="0" xfId="0" applyFont="1"/>
    <xf numFmtId="0" fontId="7" fillId="0" borderId="0" xfId="0" applyFont="1"/>
    <xf numFmtId="167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3" fontId="0" fillId="7" borderId="0" xfId="0" applyNumberFormat="1" applyFill="1"/>
    <xf numFmtId="3" fontId="0" fillId="8" borderId="0" xfId="0" applyNumberFormat="1" applyFill="1"/>
    <xf numFmtId="169" fontId="0" fillId="0" borderId="0" xfId="1" applyNumberFormat="1" applyFont="1"/>
    <xf numFmtId="3" fontId="0" fillId="9" borderId="0" xfId="0" applyNumberFormat="1" applyFill="1"/>
    <xf numFmtId="3" fontId="0" fillId="10" borderId="0" xfId="0" applyNumberFormat="1" applyFill="1"/>
    <xf numFmtId="2" fontId="0" fillId="10" borderId="0" xfId="0" applyNumberFormat="1" applyFill="1"/>
    <xf numFmtId="0" fontId="1" fillId="10" borderId="0" xfId="0" applyFont="1" applyFill="1"/>
    <xf numFmtId="0" fontId="1" fillId="10" borderId="0" xfId="0" applyFont="1" applyFill="1" applyAlignment="1">
      <alignment horizontal="right"/>
    </xf>
    <xf numFmtId="2" fontId="1" fillId="10" borderId="0" xfId="0" applyNumberFormat="1" applyFont="1" applyFill="1"/>
    <xf numFmtId="0" fontId="1" fillId="0" borderId="0" xfId="0" applyFont="1" applyAlignment="1">
      <alignment horizontal="center" vertical="top"/>
    </xf>
    <xf numFmtId="43" fontId="0" fillId="11" borderId="0" xfId="2" applyFont="1" applyFill="1" applyAlignment="1">
      <alignment horizontal="center"/>
    </xf>
    <xf numFmtId="9" fontId="0" fillId="11" borderId="0" xfId="3" applyFont="1" applyFill="1" applyAlignment="1">
      <alignment horizontal="center"/>
    </xf>
    <xf numFmtId="168" fontId="0" fillId="11" borderId="0" xfId="3" applyNumberFormat="1" applyFont="1" applyFill="1" applyAlignment="1">
      <alignment horizontal="center"/>
    </xf>
    <xf numFmtId="169" fontId="0" fillId="0" borderId="0" xfId="0" applyNumberFormat="1"/>
    <xf numFmtId="165" fontId="0" fillId="12" borderId="0" xfId="0" applyNumberFormat="1" applyFill="1"/>
    <xf numFmtId="0" fontId="0" fillId="6" borderId="0" xfId="0" applyFill="1"/>
    <xf numFmtId="0" fontId="0" fillId="6" borderId="0" xfId="0" applyFill="1" applyAlignment="1">
      <alignment horizontal="center" vertical="center"/>
    </xf>
    <xf numFmtId="167" fontId="0" fillId="6" borderId="0" xfId="2" applyNumberFormat="1" applyFont="1" applyFill="1"/>
    <xf numFmtId="164" fontId="0" fillId="6" borderId="0" xfId="0" applyNumberFormat="1" applyFill="1"/>
    <xf numFmtId="165" fontId="0" fillId="6" borderId="0" xfId="0" applyNumberFormat="1" applyFill="1"/>
    <xf numFmtId="0" fontId="8" fillId="6" borderId="0" xfId="0" applyFont="1" applyFill="1"/>
    <xf numFmtId="165" fontId="8" fillId="6" borderId="0" xfId="0" applyNumberFormat="1" applyFont="1" applyFill="1"/>
    <xf numFmtId="0" fontId="0" fillId="3" borderId="0" xfId="0" applyFill="1"/>
    <xf numFmtId="165" fontId="0" fillId="3" borderId="0" xfId="0" applyNumberFormat="1" applyFill="1"/>
    <xf numFmtId="0" fontId="4" fillId="3" borderId="0" xfId="0" applyFont="1" applyFill="1"/>
    <xf numFmtId="165" fontId="4" fillId="3" borderId="0" xfId="0" applyNumberFormat="1" applyFont="1" applyFill="1"/>
    <xf numFmtId="0" fontId="0" fillId="13" borderId="0" xfId="0" applyFill="1"/>
    <xf numFmtId="165" fontId="0" fillId="13" borderId="0" xfId="0" applyNumberFormat="1" applyFill="1"/>
    <xf numFmtId="0" fontId="9" fillId="13" borderId="0" xfId="0" applyFont="1" applyFill="1"/>
    <xf numFmtId="165" fontId="9" fillId="13" borderId="0" xfId="0" applyNumberFormat="1" applyFont="1" applyFill="1"/>
    <xf numFmtId="2" fontId="0" fillId="13" borderId="0" xfId="0" applyNumberFormat="1" applyFill="1"/>
    <xf numFmtId="1" fontId="0" fillId="0" borderId="0" xfId="0" applyNumberFormat="1"/>
    <xf numFmtId="2" fontId="0" fillId="0" borderId="0" xfId="0" applyNumberFormat="1" applyAlignment="1">
      <alignment horizontal="center"/>
    </xf>
    <xf numFmtId="0" fontId="0" fillId="0" borderId="14" xfId="0" applyBorder="1"/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2" fontId="0" fillId="0" borderId="1" xfId="0" applyNumberForma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3" fontId="0" fillId="0" borderId="20" xfId="0" applyNumberFormat="1" applyBorder="1" applyAlignment="1">
      <alignment horizontal="center" vertical="center"/>
    </xf>
    <xf numFmtId="3" fontId="1" fillId="14" borderId="23" xfId="0" applyNumberFormat="1" applyFon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1" fillId="0" borderId="1" xfId="3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0" fillId="16" borderId="0" xfId="0" applyFill="1"/>
    <xf numFmtId="3" fontId="0" fillId="7" borderId="20" xfId="0" applyNumberFormat="1" applyFill="1" applyBorder="1" applyAlignment="1">
      <alignment horizontal="center" vertical="center"/>
    </xf>
    <xf numFmtId="3" fontId="0" fillId="7" borderId="20" xfId="0" applyNumberFormat="1" applyFill="1" applyBorder="1" applyAlignment="1">
      <alignment horizontal="center"/>
    </xf>
    <xf numFmtId="0" fontId="0" fillId="7" borderId="0" xfId="0" applyFill="1"/>
    <xf numFmtId="10" fontId="0" fillId="7" borderId="0" xfId="0" applyNumberFormat="1" applyFill="1"/>
    <xf numFmtId="0" fontId="10" fillId="0" borderId="0" xfId="0" applyFont="1"/>
    <xf numFmtId="170" fontId="0" fillId="0" borderId="0" xfId="0" applyNumberFormat="1"/>
    <xf numFmtId="1" fontId="0" fillId="0" borderId="0" xfId="0" applyNumberFormat="1" applyAlignment="1">
      <alignment horizontal="center"/>
    </xf>
    <xf numFmtId="0" fontId="12" fillId="15" borderId="1" xfId="0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/>
    </xf>
    <xf numFmtId="9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" fontId="14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 wrapText="1"/>
    </xf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2" fontId="0" fillId="0" borderId="0" xfId="0" applyNumberFormat="1"/>
    <xf numFmtId="4" fontId="14" fillId="0" borderId="1" xfId="0" applyNumberFormat="1" applyFont="1" applyBorder="1" applyAlignment="1">
      <alignment horizontal="center"/>
    </xf>
    <xf numFmtId="0" fontId="0" fillId="8" borderId="4" xfId="0" applyFill="1" applyBorder="1"/>
    <xf numFmtId="9" fontId="0" fillId="8" borderId="5" xfId="3" applyFont="1" applyFill="1" applyBorder="1" applyAlignment="1">
      <alignment horizontal="center"/>
    </xf>
    <xf numFmtId="0" fontId="0" fillId="8" borderId="6" xfId="0" applyFill="1" applyBorder="1" applyAlignment="1">
      <alignment horizontal="left" indent="1"/>
    </xf>
    <xf numFmtId="0" fontId="0" fillId="8" borderId="7" xfId="0" applyFill="1" applyBorder="1"/>
    <xf numFmtId="9" fontId="0" fillId="8" borderId="0" xfId="3" applyFont="1" applyFill="1" applyBorder="1" applyAlignment="1">
      <alignment horizontal="center"/>
    </xf>
    <xf numFmtId="0" fontId="0" fillId="8" borderId="8" xfId="0" applyFill="1" applyBorder="1" applyAlignment="1">
      <alignment horizontal="left" indent="1"/>
    </xf>
    <xf numFmtId="0" fontId="0" fillId="8" borderId="9" xfId="0" applyFill="1" applyBorder="1"/>
    <xf numFmtId="1" fontId="0" fillId="8" borderId="10" xfId="2" applyNumberFormat="1" applyFont="1" applyFill="1" applyBorder="1" applyAlignment="1">
      <alignment horizontal="center"/>
    </xf>
    <xf numFmtId="0" fontId="0" fillId="8" borderId="11" xfId="0" applyFill="1" applyBorder="1" applyAlignment="1">
      <alignment horizontal="left" indent="1"/>
    </xf>
    <xf numFmtId="3" fontId="0" fillId="8" borderId="0" xfId="0" applyNumberFormat="1" applyFill="1" applyAlignment="1">
      <alignment horizontal="center"/>
    </xf>
    <xf numFmtId="4" fontId="0" fillId="8" borderId="0" xfId="0" applyNumberFormat="1" applyFill="1" applyAlignment="1">
      <alignment horizontal="center"/>
    </xf>
    <xf numFmtId="9" fontId="0" fillId="8" borderId="0" xfId="0" applyNumberFormat="1" applyFill="1" applyAlignment="1">
      <alignment horizontal="center"/>
    </xf>
    <xf numFmtId="0" fontId="0" fillId="17" borderId="0" xfId="0" applyFill="1"/>
    <xf numFmtId="3" fontId="0" fillId="2" borderId="0" xfId="0" applyNumberFormat="1" applyFill="1" applyAlignment="1">
      <alignment horizontal="center"/>
    </xf>
    <xf numFmtId="2" fontId="0" fillId="2" borderId="0" xfId="2" applyNumberFormat="1" applyFont="1" applyFill="1" applyBorder="1" applyAlignment="1">
      <alignment horizontal="center"/>
    </xf>
    <xf numFmtId="166" fontId="0" fillId="2" borderId="0" xfId="2" applyNumberFormat="1" applyFont="1" applyFill="1" applyBorder="1" applyAlignment="1">
      <alignment horizontal="center"/>
    </xf>
    <xf numFmtId="4" fontId="0" fillId="6" borderId="0" xfId="0" applyNumberFormat="1" applyFill="1"/>
    <xf numFmtId="167" fontId="0" fillId="14" borderId="0" xfId="2" applyNumberFormat="1" applyFont="1" applyFill="1"/>
    <xf numFmtId="165" fontId="0" fillId="14" borderId="0" xfId="0" applyNumberFormat="1" applyFill="1"/>
    <xf numFmtId="0" fontId="1" fillId="10" borderId="1" xfId="0" applyFont="1" applyFill="1" applyBorder="1" applyAlignment="1">
      <alignment horizontal="center" vertical="center"/>
    </xf>
    <xf numFmtId="2" fontId="0" fillId="3" borderId="0" xfId="0" applyNumberFormat="1" applyFill="1"/>
    <xf numFmtId="10" fontId="0" fillId="6" borderId="0" xfId="3" applyNumberFormat="1" applyFont="1" applyFill="1"/>
    <xf numFmtId="1" fontId="0" fillId="3" borderId="0" xfId="0" applyNumberFormat="1" applyFill="1"/>
    <xf numFmtId="171" fontId="14" fillId="0" borderId="1" xfId="0" applyNumberFormat="1" applyFont="1" applyBorder="1" applyAlignment="1">
      <alignment horizontal="center" vertical="center"/>
    </xf>
    <xf numFmtId="172" fontId="14" fillId="0" borderId="1" xfId="0" applyNumberFormat="1" applyFont="1" applyBorder="1" applyAlignment="1">
      <alignment horizontal="center" vertical="center"/>
    </xf>
    <xf numFmtId="9" fontId="0" fillId="0" borderId="0" xfId="3" applyFont="1"/>
    <xf numFmtId="44" fontId="0" fillId="0" borderId="0" xfId="1" applyFont="1"/>
    <xf numFmtId="9" fontId="0" fillId="0" borderId="1" xfId="0" applyNumberFormat="1" applyBorder="1" applyAlignment="1">
      <alignment horizontal="center"/>
    </xf>
    <xf numFmtId="9" fontId="0" fillId="2" borderId="0" xfId="0" applyNumberFormat="1" applyFill="1" applyAlignment="1">
      <alignment horizontal="center"/>
    </xf>
    <xf numFmtId="166" fontId="0" fillId="8" borderId="0" xfId="0" applyNumberFormat="1" applyFill="1" applyAlignment="1">
      <alignment horizontal="center"/>
    </xf>
    <xf numFmtId="173" fontId="0" fillId="3" borderId="0" xfId="0" applyNumberFormat="1" applyFill="1"/>
    <xf numFmtId="168" fontId="0" fillId="0" borderId="0" xfId="0" applyNumberFormat="1"/>
    <xf numFmtId="0" fontId="1" fillId="10" borderId="1" xfId="0" applyFont="1" applyFill="1" applyBorder="1"/>
    <xf numFmtId="174" fontId="0" fillId="0" borderId="0" xfId="0" applyNumberFormat="1" applyAlignment="1">
      <alignment horizontal="center"/>
    </xf>
    <xf numFmtId="0" fontId="17" fillId="0" borderId="0" xfId="0" applyFont="1"/>
    <xf numFmtId="0" fontId="17" fillId="0" borderId="24" xfId="0" applyFont="1" applyBorder="1"/>
    <xf numFmtId="0" fontId="17" fillId="0" borderId="3" xfId="0" applyFont="1" applyBorder="1"/>
    <xf numFmtId="0" fontId="17" fillId="0" borderId="16" xfId="0" applyFont="1" applyBorder="1"/>
    <xf numFmtId="0" fontId="17" fillId="0" borderId="27" xfId="0" applyFont="1" applyBorder="1"/>
    <xf numFmtId="0" fontId="17" fillId="0" borderId="28" xfId="0" applyFont="1" applyBorder="1"/>
    <xf numFmtId="0" fontId="17" fillId="18" borderId="29" xfId="0" applyFont="1" applyFill="1" applyBorder="1"/>
    <xf numFmtId="0" fontId="17" fillId="19" borderId="30" xfId="0" applyFont="1" applyFill="1" applyBorder="1"/>
    <xf numFmtId="0" fontId="17" fillId="19" borderId="11" xfId="0" applyFont="1" applyFill="1" applyBorder="1"/>
    <xf numFmtId="0" fontId="17" fillId="21" borderId="27" xfId="0" applyFont="1" applyFill="1" applyBorder="1"/>
    <xf numFmtId="0" fontId="17" fillId="21" borderId="24" xfId="0" applyFont="1" applyFill="1" applyBorder="1"/>
    <xf numFmtId="9" fontId="17" fillId="21" borderId="31" xfId="0" applyNumberFormat="1" applyFont="1" applyFill="1" applyBorder="1"/>
    <xf numFmtId="0" fontId="17" fillId="21" borderId="32" xfId="0" applyFont="1" applyFill="1" applyBorder="1"/>
    <xf numFmtId="0" fontId="17" fillId="22" borderId="24" xfId="0" applyFont="1" applyFill="1" applyBorder="1"/>
    <xf numFmtId="9" fontId="17" fillId="22" borderId="31" xfId="0" applyNumberFormat="1" applyFont="1" applyFill="1" applyBorder="1"/>
    <xf numFmtId="0" fontId="17" fillId="22" borderId="32" xfId="0" applyFont="1" applyFill="1" applyBorder="1"/>
    <xf numFmtId="0" fontId="17" fillId="23" borderId="27" xfId="0" applyFont="1" applyFill="1" applyBorder="1"/>
    <xf numFmtId="0" fontId="17" fillId="23" borderId="24" xfId="0" applyFont="1" applyFill="1" applyBorder="1"/>
    <xf numFmtId="0" fontId="17" fillId="24" borderId="24" xfId="0" applyFont="1" applyFill="1" applyBorder="1"/>
    <xf numFmtId="0" fontId="17" fillId="25" borderId="27" xfId="0" applyFont="1" applyFill="1" applyBorder="1"/>
    <xf numFmtId="0" fontId="17" fillId="25" borderId="24" xfId="0" applyFont="1" applyFill="1" applyBorder="1"/>
    <xf numFmtId="0" fontId="17" fillId="26" borderId="24" xfId="0" applyFont="1" applyFill="1" applyBorder="1"/>
    <xf numFmtId="0" fontId="17" fillId="27" borderId="27" xfId="0" applyFont="1" applyFill="1" applyBorder="1"/>
    <xf numFmtId="0" fontId="17" fillId="27" borderId="24" xfId="0" applyFont="1" applyFill="1" applyBorder="1"/>
    <xf numFmtId="0" fontId="17" fillId="28" borderId="30" xfId="0" applyFont="1" applyFill="1" applyBorder="1"/>
    <xf numFmtId="0" fontId="17" fillId="29" borderId="27" xfId="0" applyFont="1" applyFill="1" applyBorder="1"/>
    <xf numFmtId="0" fontId="17" fillId="29" borderId="24" xfId="0" applyFont="1" applyFill="1" applyBorder="1"/>
    <xf numFmtId="0" fontId="17" fillId="0" borderId="8" xfId="0" applyFont="1" applyBorder="1"/>
    <xf numFmtId="0" fontId="17" fillId="30" borderId="29" xfId="0" applyFont="1" applyFill="1" applyBorder="1"/>
    <xf numFmtId="0" fontId="17" fillId="30" borderId="30" xfId="0" applyFont="1" applyFill="1" applyBorder="1"/>
    <xf numFmtId="0" fontId="17" fillId="30" borderId="10" xfId="0" applyFont="1" applyFill="1" applyBorder="1"/>
    <xf numFmtId="0" fontId="17" fillId="30" borderId="33" xfId="0" applyFont="1" applyFill="1" applyBorder="1"/>
    <xf numFmtId="0" fontId="17" fillId="31" borderId="27" xfId="0" applyFont="1" applyFill="1" applyBorder="1"/>
    <xf numFmtId="0" fontId="17" fillId="31" borderId="24" xfId="0" applyFont="1" applyFill="1" applyBorder="1"/>
    <xf numFmtId="0" fontId="17" fillId="32" borderId="27" xfId="0" applyFont="1" applyFill="1" applyBorder="1"/>
    <xf numFmtId="0" fontId="17" fillId="32" borderId="24" xfId="0" applyFont="1" applyFill="1" applyBorder="1"/>
    <xf numFmtId="0" fontId="17" fillId="33" borderId="27" xfId="0" applyFont="1" applyFill="1" applyBorder="1"/>
    <xf numFmtId="0" fontId="17" fillId="33" borderId="24" xfId="0" applyFont="1" applyFill="1" applyBorder="1"/>
    <xf numFmtId="0" fontId="17" fillId="34" borderId="29" xfId="0" applyFont="1" applyFill="1" applyBorder="1"/>
    <xf numFmtId="0" fontId="17" fillId="34" borderId="30" xfId="0" applyFont="1" applyFill="1" applyBorder="1"/>
    <xf numFmtId="0" fontId="18" fillId="20" borderId="39" xfId="0" applyFont="1" applyFill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" fillId="7" borderId="1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9" fontId="0" fillId="0" borderId="1" xfId="3" applyFont="1" applyBorder="1" applyAlignment="1">
      <alignment horizontal="center" vertical="center"/>
    </xf>
    <xf numFmtId="0" fontId="0" fillId="14" borderId="21" xfId="0" applyFill="1" applyBorder="1" applyAlignment="1">
      <alignment horizontal="center"/>
    </xf>
    <xf numFmtId="0" fontId="0" fillId="14" borderId="22" xfId="0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17" borderId="16" xfId="0" applyFont="1" applyFill="1" applyBorder="1" applyAlignment="1">
      <alignment horizontal="center"/>
    </xf>
    <xf numFmtId="0" fontId="11" fillId="17" borderId="17" xfId="0" applyFont="1" applyFill="1" applyBorder="1" applyAlignment="1">
      <alignment horizontal="center"/>
    </xf>
    <xf numFmtId="0" fontId="11" fillId="17" borderId="1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5" fillId="14" borderId="0" xfId="0" applyFont="1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13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17" fillId="0" borderId="12" xfId="0" applyFont="1" applyBorder="1"/>
    <xf numFmtId="0" fontId="17" fillId="0" borderId="13" xfId="0" applyFont="1" applyBorder="1"/>
    <xf numFmtId="0" fontId="17" fillId="0" borderId="14" xfId="0" applyFont="1" applyBorder="1"/>
    <xf numFmtId="0" fontId="17" fillId="0" borderId="0" xfId="0" applyFont="1"/>
    <xf numFmtId="0" fontId="17" fillId="0" borderId="26" xfId="0" applyFont="1" applyBorder="1"/>
    <xf numFmtId="0" fontId="17" fillId="0" borderId="25" xfId="0" applyFont="1" applyBorder="1"/>
    <xf numFmtId="0" fontId="17" fillId="0" borderId="34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7" fillId="0" borderId="37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38" xfId="0" applyFont="1" applyBorder="1" applyAlignment="1">
      <alignment horizontal="center"/>
    </xf>
    <xf numFmtId="0" fontId="19" fillId="35" borderId="40" xfId="0" applyFont="1" applyFill="1" applyBorder="1" applyAlignment="1">
      <alignment horizontal="center" vertical="center"/>
    </xf>
    <xf numFmtId="0" fontId="19" fillId="35" borderId="41" xfId="0" applyFont="1" applyFill="1" applyBorder="1" applyAlignment="1">
      <alignment horizontal="center" vertical="center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LCOH!$N$47</c:f>
              <c:strCache>
                <c:ptCount val="1"/>
                <c:pt idx="0">
                  <c:v>CAPEX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LCOH!$L$48:$L$50</c:f>
              <c:strCache>
                <c:ptCount val="3"/>
                <c:pt idx="0">
                  <c:v>Electricidad</c:v>
                </c:pt>
                <c:pt idx="1">
                  <c:v>Electrolizador</c:v>
                </c:pt>
                <c:pt idx="2">
                  <c:v>Agua</c:v>
                </c:pt>
              </c:strCache>
            </c:strRef>
          </c:cat>
          <c:val>
            <c:numRef>
              <c:f>LCOH!$N$48:$N$51</c:f>
              <c:numCache>
                <c:formatCode>_(* #,##0.00_);_(* \(#,##0.00\);_(* "-"??_);_(@_)</c:formatCode>
                <c:ptCount val="4"/>
                <c:pt idx="0">
                  <c:v>0</c:v>
                </c:pt>
                <c:pt idx="1">
                  <c:v>2.9592764414263448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85-40DD-AA17-AA0DF987844A}"/>
            </c:ext>
          </c:extLst>
        </c:ser>
        <c:ser>
          <c:idx val="1"/>
          <c:order val="1"/>
          <c:tx>
            <c:strRef>
              <c:f>LCOH!$O$47</c:f>
              <c:strCache>
                <c:ptCount val="1"/>
                <c:pt idx="0">
                  <c:v>O&amp;M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LCOH!$L$48:$L$50</c:f>
              <c:strCache>
                <c:ptCount val="3"/>
                <c:pt idx="0">
                  <c:v>Electricidad</c:v>
                </c:pt>
                <c:pt idx="1">
                  <c:v>Electrolizador</c:v>
                </c:pt>
                <c:pt idx="2">
                  <c:v>Agua</c:v>
                </c:pt>
              </c:strCache>
            </c:strRef>
          </c:cat>
          <c:val>
            <c:numRef>
              <c:f>LCOH!$O$48:$O$50</c:f>
              <c:numCache>
                <c:formatCode>_(* #,##0.00_);_(* \(#,##0.00\);_(* "-"??_);_(@_)</c:formatCode>
                <c:ptCount val="3"/>
                <c:pt idx="0">
                  <c:v>4.2102325581395341</c:v>
                </c:pt>
                <c:pt idx="1">
                  <c:v>2.4401016434608245</c:v>
                </c:pt>
                <c:pt idx="2">
                  <c:v>2.2437209302325577E-2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85-40DD-AA17-AA0DF987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886417631"/>
        <c:axId val="1886420031"/>
      </c:barChart>
      <c:catAx>
        <c:axId val="188641763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86420031"/>
        <c:crosses val="autoZero"/>
        <c:auto val="1"/>
        <c:lblAlgn val="ctr"/>
        <c:lblOffset val="100"/>
        <c:noMultiLvlLbl val="0"/>
      </c:catAx>
      <c:valAx>
        <c:axId val="1886420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LCOH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86417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'Flujo de caja'!$E$36:$E$78</c:f>
              <c:numCache>
                <c:formatCode>0.00%</c:formatCode>
                <c:ptCount val="43"/>
                <c:pt idx="0">
                  <c:v>2E-3</c:v>
                </c:pt>
                <c:pt idx="1">
                  <c:v>5.0000000000000001E-3</c:v>
                </c:pt>
                <c:pt idx="2">
                  <c:v>8.0000000000000002E-3</c:v>
                </c:pt>
                <c:pt idx="3">
                  <c:v>1.0999999999999999E-2</c:v>
                </c:pt>
                <c:pt idx="4">
                  <c:v>1.4E-2</c:v>
                </c:pt>
                <c:pt idx="5">
                  <c:v>1.7000000000000001E-2</c:v>
                </c:pt>
                <c:pt idx="6">
                  <c:v>0.02</c:v>
                </c:pt>
                <c:pt idx="7">
                  <c:v>2.3E-2</c:v>
                </c:pt>
                <c:pt idx="8">
                  <c:v>2.5999999999999999E-2</c:v>
                </c:pt>
                <c:pt idx="9">
                  <c:v>2.9000000000000001E-2</c:v>
                </c:pt>
                <c:pt idx="10">
                  <c:v>3.2000000000000001E-2</c:v>
                </c:pt>
                <c:pt idx="11">
                  <c:v>3.5000000000000003E-2</c:v>
                </c:pt>
                <c:pt idx="12">
                  <c:v>3.7999999999999999E-2</c:v>
                </c:pt>
                <c:pt idx="13">
                  <c:v>4.1000000000000002E-2</c:v>
                </c:pt>
                <c:pt idx="14">
                  <c:v>4.3999999999999997E-2</c:v>
                </c:pt>
                <c:pt idx="15">
                  <c:v>4.7E-2</c:v>
                </c:pt>
                <c:pt idx="16">
                  <c:v>0.05</c:v>
                </c:pt>
                <c:pt idx="17">
                  <c:v>5.2999999999999999E-2</c:v>
                </c:pt>
                <c:pt idx="18">
                  <c:v>5.6000000000000001E-2</c:v>
                </c:pt>
                <c:pt idx="19">
                  <c:v>5.8999999999999997E-2</c:v>
                </c:pt>
                <c:pt idx="20">
                  <c:v>6.2E-2</c:v>
                </c:pt>
                <c:pt idx="21">
                  <c:v>6.5000000000000002E-2</c:v>
                </c:pt>
                <c:pt idx="22">
                  <c:v>6.8000000000000005E-2</c:v>
                </c:pt>
                <c:pt idx="23">
                  <c:v>7.0999999999999994E-2</c:v>
                </c:pt>
                <c:pt idx="24">
                  <c:v>7.3999999999999996E-2</c:v>
                </c:pt>
                <c:pt idx="25">
                  <c:v>7.6999999999999999E-2</c:v>
                </c:pt>
                <c:pt idx="26">
                  <c:v>0.08</c:v>
                </c:pt>
                <c:pt idx="27">
                  <c:v>8.3000000000000004E-2</c:v>
                </c:pt>
                <c:pt idx="28">
                  <c:v>8.5999999999999993E-2</c:v>
                </c:pt>
                <c:pt idx="29">
                  <c:v>8.8999999999999996E-2</c:v>
                </c:pt>
                <c:pt idx="30">
                  <c:v>9.1999999999999998E-2</c:v>
                </c:pt>
                <c:pt idx="31">
                  <c:v>9.5000000000000001E-2</c:v>
                </c:pt>
                <c:pt idx="32">
                  <c:v>9.8000000000000004E-2</c:v>
                </c:pt>
                <c:pt idx="33">
                  <c:v>0.10100000000000001</c:v>
                </c:pt>
                <c:pt idx="34">
                  <c:v>0.104</c:v>
                </c:pt>
                <c:pt idx="35">
                  <c:v>0.107</c:v>
                </c:pt>
                <c:pt idx="36">
                  <c:v>0.11</c:v>
                </c:pt>
                <c:pt idx="37">
                  <c:v>0.113</c:v>
                </c:pt>
                <c:pt idx="38">
                  <c:v>0.11600000000000001</c:v>
                </c:pt>
                <c:pt idx="39">
                  <c:v>0.11899999999999999</c:v>
                </c:pt>
                <c:pt idx="40">
                  <c:v>0.122</c:v>
                </c:pt>
                <c:pt idx="41">
                  <c:v>0.125</c:v>
                </c:pt>
              </c:numCache>
            </c:numRef>
          </c:xVal>
          <c:yVal>
            <c:numRef>
              <c:f>'Flujo de caja'!$F$36:$F$78</c:f>
              <c:numCache>
                <c:formatCode>"$"\ #,##0</c:formatCode>
                <c:ptCount val="43"/>
                <c:pt idx="0">
                  <c:v>36988300.321018621</c:v>
                </c:pt>
                <c:pt idx="1">
                  <c:v>32912940.584483132</c:v>
                </c:pt>
                <c:pt idx="2">
                  <c:v>29113863.422601365</c:v>
                </c:pt>
                <c:pt idx="3">
                  <c:v>25572005.09911225</c:v>
                </c:pt>
                <c:pt idx="4">
                  <c:v>22269673.465008892</c:v>
                </c:pt>
                <c:pt idx="5">
                  <c:v>19190444.874803428</c:v>
                </c:pt>
                <c:pt idx="6">
                  <c:v>16319069.180940107</c:v>
                </c:pt>
                <c:pt idx="7">
                  <c:v>13641382.147901632</c:v>
                </c:pt>
                <c:pt idx="8">
                  <c:v>11144224.683231551</c:v>
                </c:pt>
                <c:pt idx="9">
                  <c:v>8815368.3335300758</c:v>
                </c:pt>
                <c:pt idx="10">
                  <c:v>6643446.5398469251</c:v>
                </c:pt>
                <c:pt idx="11">
                  <c:v>4617891.1892533936</c:v>
                </c:pt>
                <c:pt idx="12">
                  <c:v>2728874.0380351041</c:v>
                </c:pt>
                <c:pt idx="13">
                  <c:v>967252.61728638597</c:v>
                </c:pt>
                <c:pt idx="14">
                  <c:v>-675479.73604033422</c:v>
                </c:pt>
                <c:pt idx="15">
                  <c:v>-2207240.0500579374</c:v>
                </c:pt>
                <c:pt idx="16">
                  <c:v>-3635398.391294919</c:v>
                </c:pt>
                <c:pt idx="17">
                  <c:v>-4966817.3162405863</c:v>
                </c:pt>
                <c:pt idx="18">
                  <c:v>-6207888.3542816406</c:v>
                </c:pt>
                <c:pt idx="19">
                  <c:v>-7364565.7545570964</c:v>
                </c:pt>
                <c:pt idx="20">
                  <c:v>-8442397.7103487775</c:v>
                </c:pt>
                <c:pt idx="21">
                  <c:v>-9446555.2572977077</c:v>
                </c:pt>
                <c:pt idx="22">
                  <c:v>-10381859.025876386</c:v>
                </c:pt>
                <c:pt idx="23">
                  <c:v>-11252804.014005266</c:v>
                </c:pt>
                <c:pt idx="24">
                  <c:v>-12063582.532383602</c:v>
                </c:pt>
                <c:pt idx="25">
                  <c:v>-12818105.462886481</c:v>
                </c:pt>
                <c:pt idx="26">
                  <c:v>-13520021.959184203</c:v>
                </c:pt>
                <c:pt idx="27">
                  <c:v>-14172737.708461907</c:v>
                </c:pt>
                <c:pt idx="28">
                  <c:v>-14779431.863695115</c:v>
                </c:pt>
                <c:pt idx="29">
                  <c:v>-15343072.747281309</c:v>
                </c:pt>
                <c:pt idx="30">
                  <c:v>-15866432.418888718</c:v>
                </c:pt>
                <c:pt idx="31">
                  <c:v>-21320258.888519634</c:v>
                </c:pt>
                <c:pt idx="32">
                  <c:v>-21329114.314345047</c:v>
                </c:pt>
                <c:pt idx="33">
                  <c:v>-21332440.286052607</c:v>
                </c:pt>
                <c:pt idx="34">
                  <c:v>-21330632.122986455</c:v>
                </c:pt>
                <c:pt idx="35">
                  <c:v>-21324059.102440942</c:v>
                </c:pt>
                <c:pt idx="36">
                  <c:v>-21313066.206976295</c:v>
                </c:pt>
                <c:pt idx="37">
                  <c:v>-21297975.750072449</c:v>
                </c:pt>
                <c:pt idx="38">
                  <c:v>-21279088.88894131</c:v>
                </c:pt>
                <c:pt idx="39">
                  <c:v>-21256687.03265167</c:v>
                </c:pt>
                <c:pt idx="40">
                  <c:v>-21231033.153108645</c:v>
                </c:pt>
                <c:pt idx="41">
                  <c:v>-21202373.005863413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4F-420C-98E1-D80347EA5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330047"/>
        <c:axId val="1664354527"/>
      </c:scatterChart>
      <c:valAx>
        <c:axId val="1664330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54527"/>
        <c:crosses val="autoZero"/>
        <c:crossBetween val="midCat"/>
      </c:valAx>
      <c:valAx>
        <c:axId val="166435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30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EL200N!$E$30:$E$55</c:f>
              <c:numCache>
                <c:formatCode>0.00%</c:formatCode>
                <c:ptCount val="26"/>
                <c:pt idx="0">
                  <c:v>5.0000000000000001E-3</c:v>
                </c:pt>
                <c:pt idx="1">
                  <c:v>1.4999999999999999E-2</c:v>
                </c:pt>
                <c:pt idx="2">
                  <c:v>2.5000000000000001E-2</c:v>
                </c:pt>
                <c:pt idx="3">
                  <c:v>3.5000000000000003E-2</c:v>
                </c:pt>
                <c:pt idx="4">
                  <c:v>4.5000000000000005E-2</c:v>
                </c:pt>
                <c:pt idx="5">
                  <c:v>5.5000000000000007E-2</c:v>
                </c:pt>
              </c:numCache>
            </c:numRef>
          </c:xVal>
          <c:yVal>
            <c:numRef>
              <c:f>EL200N!$F$30:$F$55</c:f>
              <c:numCache>
                <c:formatCode>"$"\ #,##0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AB-4191-80C4-2A354F1FF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330047"/>
        <c:axId val="1664354527"/>
      </c:scatterChart>
      <c:valAx>
        <c:axId val="1664330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54527"/>
        <c:crosses val="autoZero"/>
        <c:crossBetween val="midCat"/>
      </c:valAx>
      <c:valAx>
        <c:axId val="166435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30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'EL400N '!$E$30:$E$73</c:f>
              <c:numCache>
                <c:formatCode>0.00%</c:formatCode>
                <c:ptCount val="44"/>
                <c:pt idx="0">
                  <c:v>5.0000000000000001E-3</c:v>
                </c:pt>
                <c:pt idx="1">
                  <c:v>1.4999999999999999E-2</c:v>
                </c:pt>
                <c:pt idx="2">
                  <c:v>2.5000000000000001E-2</c:v>
                </c:pt>
                <c:pt idx="3">
                  <c:v>3.5000000000000003E-2</c:v>
                </c:pt>
                <c:pt idx="4">
                  <c:v>4.5000000000000005E-2</c:v>
                </c:pt>
                <c:pt idx="5">
                  <c:v>5.5000000000000007E-2</c:v>
                </c:pt>
                <c:pt idx="6">
                  <c:v>6.5000000000000002E-2</c:v>
                </c:pt>
                <c:pt idx="7">
                  <c:v>7.4999999999999997E-2</c:v>
                </c:pt>
                <c:pt idx="8">
                  <c:v>8.4999999999999992E-2</c:v>
                </c:pt>
                <c:pt idx="9">
                  <c:v>9.4999999999999987E-2</c:v>
                </c:pt>
                <c:pt idx="10">
                  <c:v>0.10499999999999998</c:v>
                </c:pt>
                <c:pt idx="11">
                  <c:v>0.11499999999999998</c:v>
                </c:pt>
                <c:pt idx="12">
                  <c:v>0.12499999999999997</c:v>
                </c:pt>
                <c:pt idx="13">
                  <c:v>0.13499999999999998</c:v>
                </c:pt>
                <c:pt idx="14">
                  <c:v>0.14499999999999999</c:v>
                </c:pt>
                <c:pt idx="15">
                  <c:v>0.155</c:v>
                </c:pt>
                <c:pt idx="16">
                  <c:v>0.16500000000000001</c:v>
                </c:pt>
                <c:pt idx="17">
                  <c:v>0.17500000000000002</c:v>
                </c:pt>
                <c:pt idx="18">
                  <c:v>0.18500000000000003</c:v>
                </c:pt>
                <c:pt idx="19">
                  <c:v>0.19500000000000003</c:v>
                </c:pt>
                <c:pt idx="20">
                  <c:v>0.20500000000000004</c:v>
                </c:pt>
                <c:pt idx="21">
                  <c:v>0.21500000000000005</c:v>
                </c:pt>
                <c:pt idx="22">
                  <c:v>0.22500000000000006</c:v>
                </c:pt>
                <c:pt idx="23">
                  <c:v>0.23500000000000007</c:v>
                </c:pt>
                <c:pt idx="24">
                  <c:v>0.24500000000000008</c:v>
                </c:pt>
                <c:pt idx="25">
                  <c:v>0.25500000000000006</c:v>
                </c:pt>
                <c:pt idx="26">
                  <c:v>0.26500000000000007</c:v>
                </c:pt>
                <c:pt idx="27">
                  <c:v>0.27500000000000008</c:v>
                </c:pt>
                <c:pt idx="28">
                  <c:v>0.28500000000000009</c:v>
                </c:pt>
                <c:pt idx="29">
                  <c:v>0.2950000000000001</c:v>
                </c:pt>
                <c:pt idx="30">
                  <c:v>0.3050000000000001</c:v>
                </c:pt>
                <c:pt idx="31">
                  <c:v>0.31500000000000011</c:v>
                </c:pt>
                <c:pt idx="32">
                  <c:v>0.32500000000000012</c:v>
                </c:pt>
                <c:pt idx="33">
                  <c:v>0.33500000000000013</c:v>
                </c:pt>
                <c:pt idx="34">
                  <c:v>0.34500000000000014</c:v>
                </c:pt>
                <c:pt idx="35">
                  <c:v>0.35500000000000015</c:v>
                </c:pt>
                <c:pt idx="36">
                  <c:v>0.36500000000000016</c:v>
                </c:pt>
                <c:pt idx="37">
                  <c:v>0.37500000000000017</c:v>
                </c:pt>
                <c:pt idx="38">
                  <c:v>0.38500000000000018</c:v>
                </c:pt>
                <c:pt idx="39">
                  <c:v>0.39500000000000018</c:v>
                </c:pt>
                <c:pt idx="40">
                  <c:v>0.40500000000000019</c:v>
                </c:pt>
                <c:pt idx="41">
                  <c:v>0.4150000000000002</c:v>
                </c:pt>
                <c:pt idx="42">
                  <c:v>0.42500000000000021</c:v>
                </c:pt>
                <c:pt idx="43">
                  <c:v>0.43500000000000022</c:v>
                </c:pt>
              </c:numCache>
            </c:numRef>
          </c:xVal>
          <c:yVal>
            <c:numRef>
              <c:f>'EL400N '!$F$30:$F$73</c:f>
              <c:numCache>
                <c:formatCode>"$"\ #,##0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FDE-4066-B9AB-2BED0BB2E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330047"/>
        <c:axId val="1664354527"/>
      </c:scatterChart>
      <c:valAx>
        <c:axId val="1664330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54527"/>
        <c:crosses val="autoZero"/>
        <c:crossBetween val="midCat"/>
      </c:valAx>
      <c:valAx>
        <c:axId val="166435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30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'EL600N '!$E$30:$E$89</c:f>
              <c:numCache>
                <c:formatCode>0.00%</c:formatCode>
                <c:ptCount val="60"/>
                <c:pt idx="0">
                  <c:v>5.0000000000000001E-3</c:v>
                </c:pt>
                <c:pt idx="1">
                  <c:v>1.4999999999999999E-2</c:v>
                </c:pt>
                <c:pt idx="2">
                  <c:v>2.5000000000000001E-2</c:v>
                </c:pt>
                <c:pt idx="3">
                  <c:v>3.5000000000000003E-2</c:v>
                </c:pt>
                <c:pt idx="4">
                  <c:v>4.5000000000000005E-2</c:v>
                </c:pt>
                <c:pt idx="5">
                  <c:v>5.5000000000000007E-2</c:v>
                </c:pt>
                <c:pt idx="6">
                  <c:v>6.5000000000000002E-2</c:v>
                </c:pt>
                <c:pt idx="7">
                  <c:v>7.4999999999999997E-2</c:v>
                </c:pt>
                <c:pt idx="8">
                  <c:v>8.4999999999999992E-2</c:v>
                </c:pt>
                <c:pt idx="9">
                  <c:v>9.4999999999999987E-2</c:v>
                </c:pt>
                <c:pt idx="10">
                  <c:v>0.10499999999999998</c:v>
                </c:pt>
                <c:pt idx="11">
                  <c:v>0.11499999999999998</c:v>
                </c:pt>
                <c:pt idx="12">
                  <c:v>0.12499999999999997</c:v>
                </c:pt>
                <c:pt idx="13">
                  <c:v>0.13499999999999998</c:v>
                </c:pt>
                <c:pt idx="14">
                  <c:v>0.14499999999999999</c:v>
                </c:pt>
                <c:pt idx="15">
                  <c:v>0.155</c:v>
                </c:pt>
                <c:pt idx="16">
                  <c:v>0.16500000000000001</c:v>
                </c:pt>
                <c:pt idx="17">
                  <c:v>0.17500000000000002</c:v>
                </c:pt>
                <c:pt idx="18">
                  <c:v>0.18500000000000003</c:v>
                </c:pt>
                <c:pt idx="19">
                  <c:v>0.19500000000000003</c:v>
                </c:pt>
                <c:pt idx="20">
                  <c:v>0.20500000000000004</c:v>
                </c:pt>
                <c:pt idx="21">
                  <c:v>0.21500000000000005</c:v>
                </c:pt>
                <c:pt idx="22">
                  <c:v>0.22500000000000006</c:v>
                </c:pt>
                <c:pt idx="23">
                  <c:v>0.23500000000000007</c:v>
                </c:pt>
                <c:pt idx="24">
                  <c:v>0.24500000000000008</c:v>
                </c:pt>
                <c:pt idx="25">
                  <c:v>0.25500000000000006</c:v>
                </c:pt>
                <c:pt idx="26">
                  <c:v>0.26500000000000007</c:v>
                </c:pt>
                <c:pt idx="27">
                  <c:v>0.27500000000000008</c:v>
                </c:pt>
                <c:pt idx="28">
                  <c:v>0.28500000000000009</c:v>
                </c:pt>
                <c:pt idx="29">
                  <c:v>0.2950000000000001</c:v>
                </c:pt>
                <c:pt idx="30">
                  <c:v>0.3050000000000001</c:v>
                </c:pt>
                <c:pt idx="31">
                  <c:v>0.31500000000000011</c:v>
                </c:pt>
                <c:pt idx="32">
                  <c:v>0.32500000000000012</c:v>
                </c:pt>
                <c:pt idx="33">
                  <c:v>0.33500000000000013</c:v>
                </c:pt>
                <c:pt idx="34">
                  <c:v>0.34500000000000014</c:v>
                </c:pt>
                <c:pt idx="35">
                  <c:v>0.35500000000000015</c:v>
                </c:pt>
                <c:pt idx="36">
                  <c:v>0.36500000000000016</c:v>
                </c:pt>
                <c:pt idx="37">
                  <c:v>0.37500000000000017</c:v>
                </c:pt>
                <c:pt idx="38">
                  <c:v>0.38500000000000018</c:v>
                </c:pt>
                <c:pt idx="39">
                  <c:v>0.39500000000000018</c:v>
                </c:pt>
                <c:pt idx="40">
                  <c:v>0.40500000000000019</c:v>
                </c:pt>
                <c:pt idx="41">
                  <c:v>0.4150000000000002</c:v>
                </c:pt>
                <c:pt idx="42">
                  <c:v>0.42500000000000021</c:v>
                </c:pt>
                <c:pt idx="43">
                  <c:v>0.43500000000000022</c:v>
                </c:pt>
                <c:pt idx="44">
                  <c:v>0.44500000000000023</c:v>
                </c:pt>
                <c:pt idx="45">
                  <c:v>0.45500000000000024</c:v>
                </c:pt>
                <c:pt idx="46">
                  <c:v>0.46500000000000025</c:v>
                </c:pt>
                <c:pt idx="47">
                  <c:v>0.47500000000000026</c:v>
                </c:pt>
                <c:pt idx="48">
                  <c:v>0.48500000000000026</c:v>
                </c:pt>
                <c:pt idx="49">
                  <c:v>0.49500000000000027</c:v>
                </c:pt>
                <c:pt idx="50">
                  <c:v>0.50500000000000023</c:v>
                </c:pt>
                <c:pt idx="51">
                  <c:v>0.51500000000000024</c:v>
                </c:pt>
                <c:pt idx="52">
                  <c:v>0.52500000000000024</c:v>
                </c:pt>
                <c:pt idx="53">
                  <c:v>0.53500000000000025</c:v>
                </c:pt>
                <c:pt idx="54">
                  <c:v>0.54500000000000026</c:v>
                </c:pt>
                <c:pt idx="55">
                  <c:v>0.55500000000000027</c:v>
                </c:pt>
                <c:pt idx="56">
                  <c:v>0.56500000000000028</c:v>
                </c:pt>
                <c:pt idx="57">
                  <c:v>0.57500000000000029</c:v>
                </c:pt>
                <c:pt idx="58">
                  <c:v>0.5850000000000003</c:v>
                </c:pt>
              </c:numCache>
            </c:numRef>
          </c:xVal>
          <c:yVal>
            <c:numRef>
              <c:f>'EL600N '!$F$30:$F$89</c:f>
              <c:numCache>
                <c:formatCode>"$"\ #,##0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8F1-47EC-A93A-3CF8323E6A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330047"/>
        <c:axId val="1664354527"/>
      </c:scatterChart>
      <c:valAx>
        <c:axId val="1664330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54527"/>
        <c:crosses val="autoZero"/>
        <c:crossBetween val="midCat"/>
      </c:valAx>
      <c:valAx>
        <c:axId val="166435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30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'EL100N-EL200N'!$E$30:$E$89</c:f>
              <c:numCache>
                <c:formatCode>0.00%</c:formatCode>
                <c:ptCount val="60"/>
                <c:pt idx="0">
                  <c:v>5.0000000000000001E-3</c:v>
                </c:pt>
                <c:pt idx="1">
                  <c:v>1.4999999999999999E-2</c:v>
                </c:pt>
                <c:pt idx="2">
                  <c:v>2.5000000000000001E-2</c:v>
                </c:pt>
                <c:pt idx="3">
                  <c:v>3.5000000000000003E-2</c:v>
                </c:pt>
                <c:pt idx="4">
                  <c:v>4.5000000000000005E-2</c:v>
                </c:pt>
                <c:pt idx="5">
                  <c:v>5.5000000000000007E-2</c:v>
                </c:pt>
                <c:pt idx="6">
                  <c:v>6.5000000000000002E-2</c:v>
                </c:pt>
                <c:pt idx="7">
                  <c:v>7.4999999999999997E-2</c:v>
                </c:pt>
                <c:pt idx="8">
                  <c:v>8.4999999999999992E-2</c:v>
                </c:pt>
                <c:pt idx="9">
                  <c:v>9.4999999999999987E-2</c:v>
                </c:pt>
                <c:pt idx="10">
                  <c:v>0.10499999999999998</c:v>
                </c:pt>
                <c:pt idx="11">
                  <c:v>0.11499999999999998</c:v>
                </c:pt>
                <c:pt idx="12">
                  <c:v>0.12499999999999997</c:v>
                </c:pt>
                <c:pt idx="13">
                  <c:v>0.13499999999999998</c:v>
                </c:pt>
                <c:pt idx="14">
                  <c:v>0.14499999999999999</c:v>
                </c:pt>
                <c:pt idx="15">
                  <c:v>0.155</c:v>
                </c:pt>
                <c:pt idx="16">
                  <c:v>0.16500000000000001</c:v>
                </c:pt>
                <c:pt idx="17">
                  <c:v>0.17500000000000002</c:v>
                </c:pt>
                <c:pt idx="18">
                  <c:v>0.18500000000000003</c:v>
                </c:pt>
                <c:pt idx="19">
                  <c:v>0.19500000000000003</c:v>
                </c:pt>
                <c:pt idx="20">
                  <c:v>0.20500000000000004</c:v>
                </c:pt>
                <c:pt idx="21">
                  <c:v>0.21500000000000005</c:v>
                </c:pt>
                <c:pt idx="22">
                  <c:v>0.22500000000000006</c:v>
                </c:pt>
                <c:pt idx="23">
                  <c:v>0.23500000000000007</c:v>
                </c:pt>
                <c:pt idx="24">
                  <c:v>0.24500000000000008</c:v>
                </c:pt>
                <c:pt idx="25">
                  <c:v>0.25500000000000006</c:v>
                </c:pt>
                <c:pt idx="26">
                  <c:v>0.26500000000000007</c:v>
                </c:pt>
                <c:pt idx="27">
                  <c:v>0.27500000000000008</c:v>
                </c:pt>
                <c:pt idx="28">
                  <c:v>0.28500000000000009</c:v>
                </c:pt>
                <c:pt idx="29">
                  <c:v>0.2950000000000001</c:v>
                </c:pt>
                <c:pt idx="30">
                  <c:v>0.3050000000000001</c:v>
                </c:pt>
                <c:pt idx="31">
                  <c:v>0.31500000000000011</c:v>
                </c:pt>
                <c:pt idx="32">
                  <c:v>0.32500000000000012</c:v>
                </c:pt>
                <c:pt idx="33">
                  <c:v>0.33500000000000013</c:v>
                </c:pt>
                <c:pt idx="34">
                  <c:v>0.34500000000000014</c:v>
                </c:pt>
                <c:pt idx="35">
                  <c:v>0.35500000000000015</c:v>
                </c:pt>
                <c:pt idx="36">
                  <c:v>0.36500000000000016</c:v>
                </c:pt>
                <c:pt idx="37">
                  <c:v>0.37500000000000017</c:v>
                </c:pt>
                <c:pt idx="38">
                  <c:v>0.38500000000000018</c:v>
                </c:pt>
                <c:pt idx="39">
                  <c:v>0.39500000000000018</c:v>
                </c:pt>
                <c:pt idx="40">
                  <c:v>0.40500000000000019</c:v>
                </c:pt>
                <c:pt idx="41">
                  <c:v>0.4150000000000002</c:v>
                </c:pt>
                <c:pt idx="42">
                  <c:v>0.42500000000000021</c:v>
                </c:pt>
                <c:pt idx="43">
                  <c:v>0.43500000000000022</c:v>
                </c:pt>
                <c:pt idx="44">
                  <c:v>0.44500000000000023</c:v>
                </c:pt>
                <c:pt idx="45">
                  <c:v>0.45500000000000024</c:v>
                </c:pt>
                <c:pt idx="46">
                  <c:v>0.46500000000000025</c:v>
                </c:pt>
                <c:pt idx="47">
                  <c:v>0.47500000000000026</c:v>
                </c:pt>
                <c:pt idx="48">
                  <c:v>0.48500000000000026</c:v>
                </c:pt>
                <c:pt idx="49">
                  <c:v>0.49500000000000027</c:v>
                </c:pt>
                <c:pt idx="50">
                  <c:v>0.50500000000000023</c:v>
                </c:pt>
                <c:pt idx="51">
                  <c:v>0.51500000000000024</c:v>
                </c:pt>
                <c:pt idx="52">
                  <c:v>0.52500000000000024</c:v>
                </c:pt>
                <c:pt idx="53">
                  <c:v>0.53500000000000025</c:v>
                </c:pt>
                <c:pt idx="54">
                  <c:v>0.54500000000000026</c:v>
                </c:pt>
                <c:pt idx="55">
                  <c:v>0.55500000000000027</c:v>
                </c:pt>
                <c:pt idx="56">
                  <c:v>0.56500000000000028</c:v>
                </c:pt>
                <c:pt idx="57">
                  <c:v>0.57500000000000029</c:v>
                </c:pt>
                <c:pt idx="58">
                  <c:v>0.5850000000000003</c:v>
                </c:pt>
              </c:numCache>
            </c:numRef>
          </c:xVal>
          <c:yVal>
            <c:numRef>
              <c:f>'EL100N-EL200N'!$F$30:$F$89</c:f>
              <c:numCache>
                <c:formatCode>"$"\ #,##0</c:formatCode>
                <c:ptCount val="60"/>
                <c:pt idx="0">
                  <c:v>12092174.516693728</c:v>
                </c:pt>
                <c:pt idx="1">
                  <c:v>10553416.222907992</c:v>
                </c:pt>
                <c:pt idx="2">
                  <c:v>9230479.3937312141</c:v>
                </c:pt>
                <c:pt idx="3">
                  <c:v>8086861.0809619091</c:v>
                </c:pt>
                <c:pt idx="4">
                  <c:v>7092965.8249459974</c:v>
                </c:pt>
                <c:pt idx="5">
                  <c:v>6224691.7699167877</c:v>
                </c:pt>
                <c:pt idx="6">
                  <c:v>5462324.177789079</c:v>
                </c:pt>
                <c:pt idx="7">
                  <c:v>4789666.1336818859</c:v>
                </c:pt>
                <c:pt idx="8">
                  <c:v>4193352.9575543888</c:v>
                </c:pt>
                <c:pt idx="9">
                  <c:v>3662309.4258820284</c:v>
                </c:pt>
                <c:pt idx="10">
                  <c:v>3187318.4202897279</c:v>
                </c:pt>
                <c:pt idx="11">
                  <c:v>2760676.8339226693</c:v>
                </c:pt>
                <c:pt idx="12">
                  <c:v>2375920.0559843555</c:v>
                </c:pt>
                <c:pt idx="13">
                  <c:v>2027600.5469545526</c:v>
                </c:pt>
                <c:pt idx="14">
                  <c:v>1711109.229232111</c:v>
                </c:pt>
                <c:pt idx="15">
                  <c:v>1422530.8877370209</c:v>
                </c:pt>
                <c:pt idx="16">
                  <c:v>1158526.6803474743</c:v>
                </c:pt>
                <c:pt idx="17">
                  <c:v>916238.33283996675</c:v>
                </c:pt>
                <c:pt idx="18">
                  <c:v>693209.73829976842</c:v>
                </c:pt>
                <c:pt idx="19">
                  <c:v>487322.57329420652</c:v>
                </c:pt>
                <c:pt idx="20">
                  <c:v>296743.24057692289</c:v>
                </c:pt>
                <c:pt idx="21">
                  <c:v>119878.99501069449</c:v>
                </c:pt>
                <c:pt idx="22">
                  <c:v>-44658.460381563753</c:v>
                </c:pt>
                <c:pt idx="23">
                  <c:v>-198083.28184100427</c:v>
                </c:pt>
                <c:pt idx="24">
                  <c:v>-341460.80065361597</c:v>
                </c:pt>
                <c:pt idx="25">
                  <c:v>-475728.73880627519</c:v>
                </c:pt>
                <c:pt idx="26">
                  <c:v>-601715.04611151246</c:v>
                </c:pt>
                <c:pt idx="27">
                  <c:v>-720152.94465465844</c:v>
                </c:pt>
                <c:pt idx="28">
                  <c:v>-831693.6576602729</c:v>
                </c:pt>
                <c:pt idx="29">
                  <c:v>-936917.21247916156</c:v>
                </c:pt>
                <c:pt idx="30">
                  <c:v>-1036341.6369607854</c:v>
                </c:pt>
                <c:pt idx="31">
                  <c:v>-1130430.8115425166</c:v>
                </c:pt>
                <c:pt idx="32">
                  <c:v>-1219601.1932359245</c:v>
                </c:pt>
                <c:pt idx="33">
                  <c:v>-1304227.5901724878</c:v>
                </c:pt>
                <c:pt idx="34">
                  <c:v>-1384648.1347856848</c:v>
                </c:pt>
                <c:pt idx="35">
                  <c:v>-1461168.5787028284</c:v>
                </c:pt>
                <c:pt idx="36">
                  <c:v>-1534066.0119232135</c:v>
                </c:pt>
                <c:pt idx="37">
                  <c:v>-1603592.0920107188</c:v>
                </c:pt>
                <c:pt idx="38">
                  <c:v>-1669975.8551423117</c:v>
                </c:pt>
                <c:pt idx="39">
                  <c:v>-1733426.1693776664</c:v>
                </c:pt>
                <c:pt idx="40">
                  <c:v>-1794133.8810058734</c:v>
                </c:pt>
                <c:pt idx="41">
                  <c:v>-1852273.6969253374</c:v>
                </c:pt>
                <c:pt idx="42">
                  <c:v>-1908005.8394331262</c:v>
                </c:pt>
                <c:pt idx="43">
                  <c:v>-1961477.504305759</c:v>
                </c:pt>
                <c:pt idx="44">
                  <c:v>-2012824.148454051</c:v>
                </c:pt>
                <c:pt idx="45">
                  <c:v>-2062170.6295749298</c:v>
                </c:pt>
                <c:pt idx="46">
                  <c:v>-2109632.2169761136</c:v>
                </c:pt>
                <c:pt idx="47">
                  <c:v>-2155315.4900115496</c:v>
                </c:pt>
                <c:pt idx="48">
                  <c:v>-2199319.1382510434</c:v>
                </c:pt>
                <c:pt idx="49">
                  <c:v>-2241734.6755466326</c:v>
                </c:pt>
                <c:pt idx="50">
                  <c:v>-2282647.0784931136</c:v>
                </c:pt>
                <c:pt idx="51">
                  <c:v>-2322135.3583627292</c:v>
                </c:pt>
                <c:pt idx="52">
                  <c:v>-2360273.0743851294</c:v>
                </c:pt>
                <c:pt idx="53">
                  <c:v>-2397128.7952100113</c:v>
                </c:pt>
                <c:pt idx="54">
                  <c:v>-2432766.5145043642</c:v>
                </c:pt>
                <c:pt idx="55">
                  <c:v>-2467246.0258758832</c:v>
                </c:pt>
                <c:pt idx="56">
                  <c:v>-2500623.2616599491</c:v>
                </c:pt>
                <c:pt idx="57">
                  <c:v>-2532950.5995435808</c:v>
                </c:pt>
                <c:pt idx="58">
                  <c:v>-2564277.1405125186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44-4170-A69D-A6D004E8D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330047"/>
        <c:axId val="1664354527"/>
      </c:scatterChart>
      <c:valAx>
        <c:axId val="1664330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54527"/>
        <c:crosses val="autoZero"/>
        <c:crossBetween val="midCat"/>
      </c:valAx>
      <c:valAx>
        <c:axId val="166435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64330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Comparativo LCOH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1CC-4614-9EDF-A458E31A6262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1CC-4614-9EDF-A458E31A6262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1CC-4614-9EDF-A458E31A6262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1CC-4614-9EDF-A458E31A6262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1CC-4614-9EDF-A458E31A6262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1CC-4614-9EDF-A458E31A626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'LCOH Resultados '!$D$9:$D$19</c:f>
              <c:strCache>
                <c:ptCount val="11"/>
                <c:pt idx="0">
                  <c:v>EL100N</c:v>
                </c:pt>
                <c:pt idx="1">
                  <c:v>EL200N</c:v>
                </c:pt>
                <c:pt idx="2">
                  <c:v>EL400N</c:v>
                </c:pt>
                <c:pt idx="3">
                  <c:v>EL600N</c:v>
                </c:pt>
                <c:pt idx="4">
                  <c:v>EL100N+EL200N</c:v>
                </c:pt>
                <c:pt idx="5">
                  <c:v>GIZ 2018</c:v>
                </c:pt>
                <c:pt idx="6">
                  <c:v>In - data 2019</c:v>
                </c:pt>
                <c:pt idx="7">
                  <c:v>Implementa Sur 2019</c:v>
                </c:pt>
                <c:pt idx="8">
                  <c:v>Tractebel - Engie 2018</c:v>
                </c:pt>
                <c:pt idx="9">
                  <c:v>Julien Armijo IEA 2019</c:v>
                </c:pt>
                <c:pt idx="10">
                  <c:v>Potencial de oferta de H2 en Colombia</c:v>
                </c:pt>
              </c:strCache>
            </c:strRef>
          </c:cat>
          <c:val>
            <c:numRef>
              <c:f>'LCOH Resultados '!$E$9:$E$19</c:f>
              <c:numCache>
                <c:formatCode>General</c:formatCode>
                <c:ptCount val="11"/>
                <c:pt idx="0">
                  <c:v>39.01</c:v>
                </c:pt>
                <c:pt idx="1">
                  <c:v>27.63</c:v>
                </c:pt>
                <c:pt idx="2">
                  <c:v>10.039999999999999</c:v>
                </c:pt>
                <c:pt idx="3">
                  <c:v>9.6300000000000008</c:v>
                </c:pt>
                <c:pt idx="4">
                  <c:v>28.09</c:v>
                </c:pt>
                <c:pt idx="5">
                  <c:v>5.8</c:v>
                </c:pt>
                <c:pt idx="6">
                  <c:v>3.9</c:v>
                </c:pt>
                <c:pt idx="7">
                  <c:v>3.52</c:v>
                </c:pt>
                <c:pt idx="8">
                  <c:v>3.03</c:v>
                </c:pt>
                <c:pt idx="9">
                  <c:v>2.19</c:v>
                </c:pt>
                <c:pt idx="10">
                  <c:v>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CC-4614-9EDF-A458E31A626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50813103"/>
        <c:axId val="1850803503"/>
      </c:barChart>
      <c:catAx>
        <c:axId val="18508131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50803503"/>
        <c:crosses val="autoZero"/>
        <c:auto val="1"/>
        <c:lblAlgn val="ctr"/>
        <c:lblOffset val="100"/>
        <c:noMultiLvlLbl val="0"/>
      </c:catAx>
      <c:valAx>
        <c:axId val="1850803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USD/kgH2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50813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9</xdr:col>
      <xdr:colOff>380082</xdr:colOff>
      <xdr:row>43</xdr:row>
      <xdr:rowOff>8857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6E21E0-B840-A394-0B10-B2FEE5182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514725"/>
          <a:ext cx="7342857" cy="53428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17</xdr:col>
      <xdr:colOff>418200</xdr:colOff>
      <xdr:row>43</xdr:row>
      <xdr:rowOff>142214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D2D7ED-4805-6956-C05E-6C830114B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01050" y="3705225"/>
          <a:ext cx="7200000" cy="5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33</xdr:row>
      <xdr:rowOff>0</xdr:rowOff>
    </xdr:from>
    <xdr:to>
      <xdr:col>10</xdr:col>
      <xdr:colOff>549139</xdr:colOff>
      <xdr:row>38</xdr:row>
      <xdr:rowOff>169706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EF7481-4124-4ACC-8AE6-E5D533285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12182475"/>
          <a:ext cx="3501889" cy="1198406"/>
        </a:xfrm>
        <a:prstGeom prst="rect">
          <a:avLst/>
        </a:prstGeom>
      </xdr:spPr>
    </xdr:pic>
    <xdr:clientData/>
  </xdr:twoCellAnchor>
  <xdr:twoCellAnchor>
    <xdr:from>
      <xdr:col>17</xdr:col>
      <xdr:colOff>890587</xdr:colOff>
      <xdr:row>32</xdr:row>
      <xdr:rowOff>47625</xdr:rowOff>
    </xdr:from>
    <xdr:to>
      <xdr:col>22</xdr:col>
      <xdr:colOff>504825</xdr:colOff>
      <xdr:row>49</xdr:row>
      <xdr:rowOff>119062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B49AED6-337D-4547-497D-0701B8FA558C}"/>
            </a:ext>
            <a:ext uri="{147F2762-F138-4A5C-976F-8EAC2B608ADB}">
              <a16:predDERef xmlns:a16="http://schemas.microsoft.com/office/drawing/2014/main" pred="{8DEF7481-4124-4ACC-8AE6-E5D5332858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</xdr:colOff>
      <xdr:row>3</xdr:row>
      <xdr:rowOff>34291</xdr:rowOff>
    </xdr:from>
    <xdr:to>
      <xdr:col>8</xdr:col>
      <xdr:colOff>554079</xdr:colOff>
      <xdr:row>27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E2F0B7-2825-4981-99AC-DAB9A1EB20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57"/>
        <a:stretch/>
      </xdr:blipFill>
      <xdr:spPr>
        <a:xfrm>
          <a:off x="478155" y="605791"/>
          <a:ext cx="5886174" cy="4537709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8</xdr:row>
      <xdr:rowOff>47625</xdr:rowOff>
    </xdr:from>
    <xdr:to>
      <xdr:col>8</xdr:col>
      <xdr:colOff>533400</xdr:colOff>
      <xdr:row>15</xdr:row>
      <xdr:rowOff>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1274A890-A4B8-4C7E-9038-B188B4235D30}"/>
            </a:ext>
          </a:extLst>
        </xdr:cNvPr>
        <xdr:cNvSpPr/>
      </xdr:nvSpPr>
      <xdr:spPr>
        <a:xfrm>
          <a:off x="4286250" y="1571625"/>
          <a:ext cx="2057400" cy="1285875"/>
        </a:xfrm>
        <a:prstGeom prst="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0</xdr:colOff>
      <xdr:row>27</xdr:row>
      <xdr:rowOff>85725</xdr:rowOff>
    </xdr:from>
    <xdr:to>
      <xdr:col>8</xdr:col>
      <xdr:colOff>514042</xdr:colOff>
      <xdr:row>51</xdr:row>
      <xdr:rowOff>19050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B3752F-210A-4F78-8D79-A24DBC390C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6408"/>
        <a:stretch/>
      </xdr:blipFill>
      <xdr:spPr>
        <a:xfrm>
          <a:off x="476250" y="5229225"/>
          <a:ext cx="5848042" cy="4505325"/>
        </a:xfrm>
        <a:prstGeom prst="rect">
          <a:avLst/>
        </a:prstGeom>
      </xdr:spPr>
    </xdr:pic>
    <xdr:clientData/>
  </xdr:twoCellAnchor>
  <xdr:twoCellAnchor>
    <xdr:from>
      <xdr:col>1</xdr:col>
      <xdr:colOff>504825</xdr:colOff>
      <xdr:row>38</xdr:row>
      <xdr:rowOff>169545</xdr:rowOff>
    </xdr:from>
    <xdr:to>
      <xdr:col>7</xdr:col>
      <xdr:colOff>541020</xdr:colOff>
      <xdr:row>40</xdr:row>
      <xdr:rowOff>85725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BB793271-8B25-4BAC-9906-86C9D1045923}"/>
            </a:ext>
          </a:extLst>
        </xdr:cNvPr>
        <xdr:cNvSpPr/>
      </xdr:nvSpPr>
      <xdr:spPr>
        <a:xfrm>
          <a:off x="981075" y="7408545"/>
          <a:ext cx="4608195" cy="297180"/>
        </a:xfrm>
        <a:prstGeom prst="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20955</xdr:colOff>
      <xdr:row>51</xdr:row>
      <xdr:rowOff>154306</xdr:rowOff>
    </xdr:from>
    <xdr:to>
      <xdr:col>8</xdr:col>
      <xdr:colOff>512445</xdr:colOff>
      <xdr:row>75</xdr:row>
      <xdr:rowOff>60895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6E79D49-DF4D-45E0-984F-8957B2EA2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7205" y="9869806"/>
          <a:ext cx="5825490" cy="4478589"/>
        </a:xfrm>
        <a:prstGeom prst="rect">
          <a:avLst/>
        </a:prstGeom>
      </xdr:spPr>
    </xdr:pic>
    <xdr:clientData/>
  </xdr:twoCellAnchor>
  <xdr:twoCellAnchor editAs="oneCell">
    <xdr:from>
      <xdr:col>18</xdr:col>
      <xdr:colOff>735331</xdr:colOff>
      <xdr:row>2</xdr:row>
      <xdr:rowOff>158538</xdr:rowOff>
    </xdr:from>
    <xdr:to>
      <xdr:col>26</xdr:col>
      <xdr:colOff>284559</xdr:colOff>
      <xdr:row>26</xdr:row>
      <xdr:rowOff>57151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C151BAB-3F93-4FFB-8BC8-BE0F5E29B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165581" y="539538"/>
          <a:ext cx="5721428" cy="4470613"/>
        </a:xfrm>
        <a:prstGeom prst="rect">
          <a:avLst/>
        </a:prstGeom>
      </xdr:spPr>
    </xdr:pic>
    <xdr:clientData/>
  </xdr:twoCellAnchor>
  <xdr:twoCellAnchor>
    <xdr:from>
      <xdr:col>19</xdr:col>
      <xdr:colOff>19050</xdr:colOff>
      <xdr:row>9</xdr:row>
      <xdr:rowOff>66675</xdr:rowOff>
    </xdr:from>
    <xdr:to>
      <xdr:col>26</xdr:col>
      <xdr:colOff>247650</xdr:colOff>
      <xdr:row>11</xdr:row>
      <xdr:rowOff>131445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4489B60D-F00E-4345-99AB-431CAB50C4D3}"/>
            </a:ext>
          </a:extLst>
        </xdr:cNvPr>
        <xdr:cNvSpPr/>
      </xdr:nvSpPr>
      <xdr:spPr>
        <a:xfrm>
          <a:off x="14211300" y="1781175"/>
          <a:ext cx="5638800" cy="445770"/>
        </a:xfrm>
        <a:prstGeom prst="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18</xdr:col>
      <xdr:colOff>542925</xdr:colOff>
      <xdr:row>14</xdr:row>
      <xdr:rowOff>85725</xdr:rowOff>
    </xdr:from>
    <xdr:to>
      <xdr:col>26</xdr:col>
      <xdr:colOff>180975</xdr:colOff>
      <xdr:row>16</xdr:row>
      <xdr:rowOff>133350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D0756F15-1B31-7BF8-F368-5972F312FF9C}"/>
            </a:ext>
          </a:extLst>
        </xdr:cNvPr>
        <xdr:cNvSpPr/>
      </xdr:nvSpPr>
      <xdr:spPr>
        <a:xfrm>
          <a:off x="13973175" y="2752725"/>
          <a:ext cx="5810250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466725</xdr:colOff>
      <xdr:row>3</xdr:row>
      <xdr:rowOff>38100</xdr:rowOff>
    </xdr:from>
    <xdr:to>
      <xdr:col>18</xdr:col>
      <xdr:colOff>227319</xdr:colOff>
      <xdr:row>26</xdr:row>
      <xdr:rowOff>161925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E1FFF93-1659-0822-D671-BFEC76BDE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38975" y="609600"/>
          <a:ext cx="6618594" cy="4505325"/>
        </a:xfrm>
        <a:prstGeom prst="rect">
          <a:avLst/>
        </a:prstGeom>
      </xdr:spPr>
    </xdr:pic>
    <xdr:clientData/>
  </xdr:twoCellAnchor>
  <xdr:twoCellAnchor editAs="oneCell">
    <xdr:from>
      <xdr:col>9</xdr:col>
      <xdr:colOff>438150</xdr:colOff>
      <xdr:row>28</xdr:row>
      <xdr:rowOff>9526</xdr:rowOff>
    </xdr:from>
    <xdr:to>
      <xdr:col>18</xdr:col>
      <xdr:colOff>209550</xdr:colOff>
      <xdr:row>55</xdr:row>
      <xdr:rowOff>47626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C7EE1A4-3DF2-985E-7F86-E8F76FB81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0400" y="5343526"/>
          <a:ext cx="6629400" cy="5181600"/>
        </a:xfrm>
        <a:prstGeom prst="rect">
          <a:avLst/>
        </a:prstGeom>
      </xdr:spPr>
    </xdr:pic>
    <xdr:clientData/>
  </xdr:twoCellAnchor>
  <xdr:twoCellAnchor>
    <xdr:from>
      <xdr:col>1</xdr:col>
      <xdr:colOff>444501</xdr:colOff>
      <xdr:row>37</xdr:row>
      <xdr:rowOff>111125</xdr:rowOff>
    </xdr:from>
    <xdr:to>
      <xdr:col>7</xdr:col>
      <xdr:colOff>666750</xdr:colOff>
      <xdr:row>39</xdr:row>
      <xdr:rowOff>55563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39DE1CC1-C44D-DD88-4B88-A93AD95052F6}"/>
            </a:ext>
          </a:extLst>
        </xdr:cNvPr>
        <xdr:cNvSpPr/>
      </xdr:nvSpPr>
      <xdr:spPr>
        <a:xfrm>
          <a:off x="920751" y="7159625"/>
          <a:ext cx="4794249" cy="32543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33</xdr:row>
      <xdr:rowOff>176211</xdr:rowOff>
    </xdr:from>
    <xdr:to>
      <xdr:col>15</xdr:col>
      <xdr:colOff>466725</xdr:colOff>
      <xdr:row>60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3E71069-DC94-3DCE-C369-8C6B594B88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27</xdr:row>
      <xdr:rowOff>176211</xdr:rowOff>
    </xdr:from>
    <xdr:to>
      <xdr:col>15</xdr:col>
      <xdr:colOff>466725</xdr:colOff>
      <xdr:row>54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BBA091F-72BB-42D3-851E-6E37DC0E1C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27</xdr:row>
      <xdr:rowOff>176211</xdr:rowOff>
    </xdr:from>
    <xdr:to>
      <xdr:col>15</xdr:col>
      <xdr:colOff>466725</xdr:colOff>
      <xdr:row>54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4D255FF-0D0D-4A61-AD9C-AC99F9DE50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27</xdr:row>
      <xdr:rowOff>176211</xdr:rowOff>
    </xdr:from>
    <xdr:to>
      <xdr:col>15</xdr:col>
      <xdr:colOff>466725</xdr:colOff>
      <xdr:row>54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EDF2E-24BE-420C-BC54-CB408FB08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27</xdr:row>
      <xdr:rowOff>176211</xdr:rowOff>
    </xdr:from>
    <xdr:to>
      <xdr:col>15</xdr:col>
      <xdr:colOff>466725</xdr:colOff>
      <xdr:row>54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F4F60A3-2FBE-4B1B-89A2-F4294EF816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1</xdr:row>
      <xdr:rowOff>104774</xdr:rowOff>
    </xdr:from>
    <xdr:to>
      <xdr:col>17</xdr:col>
      <xdr:colOff>428625</xdr:colOff>
      <xdr:row>29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044825A-0185-E915-F721-FA05E8A31D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923925</xdr:colOff>
      <xdr:row>0</xdr:row>
      <xdr:rowOff>0</xdr:rowOff>
    </xdr:from>
    <xdr:to>
      <xdr:col>16</xdr:col>
      <xdr:colOff>152400</xdr:colOff>
      <xdr:row>14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50FFF3-68C5-87B6-57C4-53E655964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67525" y="0"/>
          <a:ext cx="4572000" cy="28384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redu.sharepoint.com/sites/PROYECTODEGRADOHIDROGENOVERDETTB/Documentos%20compartidos/Anexo%20Financiero%20%20VPN%20TIR%20PB%20MER.xlsx" TargetMode="External"/><Relationship Id="rId1" Type="http://schemas.openxmlformats.org/officeDocument/2006/relationships/externalLinkPath" Target="file:///C:\Users\ASUS\OneDrive%20-%20Universidad%20del%20rosario\Documentos%20-%20PROYECTO%20DE%20GRADO%20HIDROGENO%20VERDE%20TTB\Anexo%20Financiero%20%20VPN%20TIR%20PB%20M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PT"/>
      <sheetName val="Datos problema"/>
      <sheetName val="Precio kWh en el tiempo"/>
      <sheetName val="Costo mantenimiento en el tiemp"/>
      <sheetName val="Costo OH"/>
      <sheetName val="Año 0"/>
      <sheetName val="Año 1"/>
      <sheetName val="Flujo de caj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B646-3427-45EE-B7CD-E9AA59FFE476}">
  <dimension ref="B1:Q81"/>
  <sheetViews>
    <sheetView showGridLines="0" zoomScale="150" zoomScaleNormal="150" workbookViewId="0">
      <selection activeCell="E5" sqref="E5"/>
    </sheetView>
  </sheetViews>
  <sheetFormatPr baseColWidth="10" defaultColWidth="11.42578125" defaultRowHeight="15" x14ac:dyDescent="0.25"/>
  <cols>
    <col min="1" max="1" width="2.28515625" customWidth="1"/>
    <col min="3" max="3" width="33" customWidth="1"/>
    <col min="4" max="4" width="10.5703125" bestFit="1" customWidth="1"/>
    <col min="5" max="5" width="28" customWidth="1"/>
    <col min="6" max="6" width="22.42578125" customWidth="1"/>
    <col min="7" max="7" width="4.7109375" customWidth="1"/>
    <col min="8" max="8" width="1" style="77" customWidth="1"/>
    <col min="10" max="10" width="23" customWidth="1"/>
    <col min="11" max="11" width="21.140625" customWidth="1"/>
    <col min="12" max="12" width="13.42578125" customWidth="1"/>
    <col min="13" max="13" width="18.7109375" customWidth="1"/>
    <col min="14" max="14" width="21.42578125" customWidth="1"/>
    <col min="15" max="15" width="21.85546875" customWidth="1"/>
    <col min="16" max="17" width="27.140625" customWidth="1"/>
    <col min="20" max="20" width="12" customWidth="1"/>
  </cols>
  <sheetData>
    <row r="1" spans="2:17" ht="15.75" thickBot="1" x14ac:dyDescent="0.3"/>
    <row r="2" spans="2:17" x14ac:dyDescent="0.25">
      <c r="B2" s="172"/>
      <c r="C2" s="174" t="s">
        <v>0</v>
      </c>
      <c r="D2" s="174"/>
      <c r="E2" s="174"/>
      <c r="F2" s="175"/>
      <c r="J2" s="4" t="s">
        <v>1</v>
      </c>
      <c r="K2" s="4" t="s">
        <v>2</v>
      </c>
      <c r="L2" s="59" t="s">
        <v>3</v>
      </c>
      <c r="M2" s="59" t="s">
        <v>4</v>
      </c>
      <c r="N2" s="59" t="s">
        <v>5</v>
      </c>
      <c r="O2" s="59" t="s">
        <v>6</v>
      </c>
      <c r="P2" s="59" t="s">
        <v>7</v>
      </c>
      <c r="Q2" s="59" t="s">
        <v>8</v>
      </c>
    </row>
    <row r="3" spans="2:17" ht="15.75" x14ac:dyDescent="0.25">
      <c r="B3" s="173"/>
      <c r="C3" s="59" t="s">
        <v>9</v>
      </c>
      <c r="D3" s="59" t="s">
        <v>10</v>
      </c>
      <c r="E3" s="59" t="s">
        <v>11</v>
      </c>
      <c r="F3" s="71" t="s">
        <v>12</v>
      </c>
      <c r="J3" s="59" t="s">
        <v>13</v>
      </c>
      <c r="K3" s="64">
        <f>+E6</f>
        <v>1547800</v>
      </c>
      <c r="L3" s="64">
        <f>+F11</f>
        <v>2854310</v>
      </c>
      <c r="M3" s="87">
        <v>538</v>
      </c>
      <c r="N3" s="64">
        <f>+F15</f>
        <v>342517.2</v>
      </c>
      <c r="O3" s="64">
        <f>+L3/M3</f>
        <v>5305.4089219330854</v>
      </c>
      <c r="P3" s="64">
        <f>+N3/M3</f>
        <v>636.64907063197029</v>
      </c>
      <c r="Q3" s="124">
        <f>1-(K3/L3)</f>
        <v>0.45773234161671295</v>
      </c>
    </row>
    <row r="4" spans="2:17" ht="15.75" x14ac:dyDescent="0.25">
      <c r="B4" s="176" t="s">
        <v>3</v>
      </c>
      <c r="C4" s="2" t="s">
        <v>14</v>
      </c>
      <c r="D4" s="65">
        <v>0</v>
      </c>
      <c r="E4" s="66">
        <f>+'CTO SFV'!F10</f>
        <v>1244471.1309523808</v>
      </c>
      <c r="F4" s="72">
        <f>+E4*D4</f>
        <v>0</v>
      </c>
      <c r="J4" s="59" t="s">
        <v>15</v>
      </c>
      <c r="K4" s="64">
        <f>+E22</f>
        <v>1843467</v>
      </c>
      <c r="L4" s="64">
        <f>+F27</f>
        <v>3283027.15</v>
      </c>
      <c r="M4" s="87">
        <v>1000</v>
      </c>
      <c r="N4" s="64">
        <f>+F31</f>
        <v>393963.25800000003</v>
      </c>
      <c r="O4" s="64">
        <f>+L4/M4</f>
        <v>3283.0271499999999</v>
      </c>
      <c r="P4" s="64">
        <f t="shared" ref="P4" si="0">+N4/M4</f>
        <v>393.96325800000005</v>
      </c>
      <c r="Q4" s="124">
        <f t="shared" ref="Q4" si="1">1-(K4/L4)</f>
        <v>0.43848560618817911</v>
      </c>
    </row>
    <row r="5" spans="2:17" ht="15.75" x14ac:dyDescent="0.25">
      <c r="B5" s="176"/>
      <c r="C5" s="2" t="s">
        <v>237</v>
      </c>
      <c r="D5" s="65">
        <v>0</v>
      </c>
      <c r="E5" s="66">
        <v>3000000</v>
      </c>
      <c r="F5" s="72">
        <f>+E5*D5</f>
        <v>0</v>
      </c>
      <c r="J5" s="59" t="s">
        <v>17</v>
      </c>
      <c r="K5" s="64">
        <f>+E38</f>
        <v>3254180</v>
      </c>
      <c r="L5" s="64">
        <f>+F43</f>
        <v>5778561</v>
      </c>
      <c r="M5" s="87">
        <v>2100</v>
      </c>
      <c r="N5" s="64">
        <f>+F47</f>
        <v>693427.32000000007</v>
      </c>
      <c r="O5" s="64">
        <f>+L5/M5</f>
        <v>2751.6957142857141</v>
      </c>
      <c r="P5" s="64">
        <f>+N5/M5</f>
        <v>330.20348571428576</v>
      </c>
      <c r="Q5" s="124">
        <f>1-(K5/L5)</f>
        <v>0.43685287738590972</v>
      </c>
    </row>
    <row r="6" spans="2:17" ht="15.75" x14ac:dyDescent="0.25">
      <c r="B6" s="176"/>
      <c r="C6" s="2" t="s">
        <v>16</v>
      </c>
      <c r="D6" s="65">
        <v>1</v>
      </c>
      <c r="E6" s="66">
        <f>+ELECTROLIZADOR!AB16</f>
        <v>1547800</v>
      </c>
      <c r="F6" s="72">
        <f t="shared" ref="F6:F10" si="2">+E6*D6</f>
        <v>1547800</v>
      </c>
      <c r="J6" s="59" t="s">
        <v>19</v>
      </c>
      <c r="K6" s="64">
        <f>+E54</f>
        <v>4571170</v>
      </c>
      <c r="L6" s="64">
        <f>+F59</f>
        <v>8138196.5</v>
      </c>
      <c r="M6" s="87">
        <v>3100</v>
      </c>
      <c r="N6" s="64">
        <f>+F63</f>
        <v>976583.58000000007</v>
      </c>
      <c r="O6" s="64">
        <f>+L6/M6</f>
        <v>2625.224677419355</v>
      </c>
      <c r="P6" s="64">
        <f>+N6/M6</f>
        <v>315.02696129032262</v>
      </c>
      <c r="Q6" s="124">
        <f>1-(K6/L6)</f>
        <v>0.43830675506544969</v>
      </c>
    </row>
    <row r="7" spans="2:17" ht="15.75" x14ac:dyDescent="0.25">
      <c r="B7" s="176"/>
      <c r="C7" s="2" t="s">
        <v>18</v>
      </c>
      <c r="D7" s="65">
        <v>2</v>
      </c>
      <c r="E7" s="66">
        <v>80000</v>
      </c>
      <c r="F7" s="72">
        <f t="shared" si="2"/>
        <v>160000</v>
      </c>
      <c r="J7" s="86" t="s">
        <v>21</v>
      </c>
      <c r="K7" s="64">
        <f>(E70+E71)</f>
        <v>3391267</v>
      </c>
      <c r="L7" s="64">
        <f>+F76</f>
        <v>5280827.1500000004</v>
      </c>
      <c r="M7" s="87">
        <f>+M3+M4</f>
        <v>1538</v>
      </c>
      <c r="N7" s="64">
        <f>+F80</f>
        <v>633699.25800000015</v>
      </c>
      <c r="O7" s="64">
        <f>+L7/M7</f>
        <v>3433.5677178153446</v>
      </c>
      <c r="P7" s="64">
        <f>+N7/M7</f>
        <v>412.02812613784147</v>
      </c>
      <c r="Q7" s="124">
        <f>1-(K7/L7)</f>
        <v>0.35781518620619879</v>
      </c>
    </row>
    <row r="8" spans="2:17" x14ac:dyDescent="0.25">
      <c r="B8" s="176"/>
      <c r="C8" s="2" t="s">
        <v>20</v>
      </c>
      <c r="D8" s="65">
        <v>1</v>
      </c>
      <c r="E8" s="66">
        <v>150000</v>
      </c>
      <c r="F8" s="72">
        <f t="shared" si="2"/>
        <v>150000</v>
      </c>
    </row>
    <row r="9" spans="2:17" x14ac:dyDescent="0.25">
      <c r="B9" s="176"/>
      <c r="C9" s="2" t="s">
        <v>22</v>
      </c>
      <c r="D9" s="65">
        <v>1</v>
      </c>
      <c r="E9" s="66">
        <v>300000</v>
      </c>
      <c r="F9" s="72">
        <f t="shared" si="2"/>
        <v>300000</v>
      </c>
    </row>
    <row r="10" spans="2:17" x14ac:dyDescent="0.25">
      <c r="B10" s="176"/>
      <c r="C10" s="2" t="s">
        <v>23</v>
      </c>
      <c r="D10" s="65">
        <v>1</v>
      </c>
      <c r="E10" s="66">
        <f>+E6*45%</f>
        <v>696510</v>
      </c>
      <c r="F10" s="72">
        <f t="shared" si="2"/>
        <v>696510</v>
      </c>
    </row>
    <row r="11" spans="2:17" x14ac:dyDescent="0.25">
      <c r="B11" s="177" t="s">
        <v>24</v>
      </c>
      <c r="C11" s="178"/>
      <c r="D11" s="178"/>
      <c r="E11" s="178"/>
      <c r="F11" s="78">
        <f>SUM(F4:F10)</f>
        <v>2854310</v>
      </c>
      <c r="K11" s="8"/>
      <c r="L11" s="128"/>
      <c r="M11" s="5"/>
    </row>
    <row r="12" spans="2:17" x14ac:dyDescent="0.25">
      <c r="B12" s="176" t="s">
        <v>5</v>
      </c>
      <c r="C12" s="2" t="s">
        <v>25</v>
      </c>
      <c r="D12" s="179">
        <v>0.05</v>
      </c>
      <c r="E12" s="179"/>
      <c r="F12" s="72">
        <f>+D12*$F$11</f>
        <v>142715.5</v>
      </c>
      <c r="M12" s="5"/>
      <c r="O12" s="123"/>
      <c r="P12" s="123"/>
    </row>
    <row r="13" spans="2:17" x14ac:dyDescent="0.25">
      <c r="B13" s="176"/>
      <c r="C13" s="2" t="s">
        <v>26</v>
      </c>
      <c r="D13" s="179">
        <v>0.02</v>
      </c>
      <c r="E13" s="179"/>
      <c r="F13" s="72">
        <f>+D13*$F$11</f>
        <v>57086.200000000004</v>
      </c>
      <c r="K13" s="122"/>
    </row>
    <row r="14" spans="2:17" x14ac:dyDescent="0.25">
      <c r="B14" s="176"/>
      <c r="C14" s="2" t="s">
        <v>27</v>
      </c>
      <c r="D14" s="179">
        <v>0.05</v>
      </c>
      <c r="E14" s="179"/>
      <c r="F14" s="72">
        <f>+D14*$F$11</f>
        <v>142715.5</v>
      </c>
    </row>
    <row r="15" spans="2:17" x14ac:dyDescent="0.25">
      <c r="B15" s="177" t="s">
        <v>28</v>
      </c>
      <c r="C15" s="178"/>
      <c r="D15" s="178"/>
      <c r="E15" s="178"/>
      <c r="F15" s="79">
        <f>SUM(F12:F14)</f>
        <v>342517.2</v>
      </c>
    </row>
    <row r="16" spans="2:17" ht="15.75" thickBot="1" x14ac:dyDescent="0.3">
      <c r="B16" s="180" t="s">
        <v>29</v>
      </c>
      <c r="C16" s="181"/>
      <c r="D16" s="181"/>
      <c r="E16" s="181"/>
      <c r="F16" s="73">
        <f>+F15+F11</f>
        <v>3196827.2</v>
      </c>
    </row>
    <row r="17" spans="2:14" ht="15.75" thickBot="1" x14ac:dyDescent="0.3"/>
    <row r="18" spans="2:14" x14ac:dyDescent="0.25">
      <c r="B18" s="172"/>
      <c r="C18" s="174" t="s">
        <v>30</v>
      </c>
      <c r="D18" s="174"/>
      <c r="E18" s="174"/>
      <c r="F18" s="175"/>
    </row>
    <row r="19" spans="2:14" x14ac:dyDescent="0.25">
      <c r="B19" s="173"/>
      <c r="C19" s="59" t="s">
        <v>9</v>
      </c>
      <c r="D19" s="59" t="s">
        <v>10</v>
      </c>
      <c r="E19" s="59" t="s">
        <v>11</v>
      </c>
      <c r="F19" s="71" t="s">
        <v>12</v>
      </c>
      <c r="K19" s="59" t="s">
        <v>31</v>
      </c>
      <c r="L19" s="59"/>
      <c r="M19" s="59"/>
      <c r="N19" s="59"/>
    </row>
    <row r="20" spans="2:14" ht="15.75" customHeight="1" x14ac:dyDescent="0.25">
      <c r="B20" s="176" t="s">
        <v>3</v>
      </c>
      <c r="C20" s="2" t="s">
        <v>14</v>
      </c>
      <c r="D20" s="65">
        <v>0</v>
      </c>
      <c r="E20" s="66">
        <f>+'CTO SFV'!F10</f>
        <v>1244471.1309523808</v>
      </c>
      <c r="F20" s="72">
        <f>+E20*D20</f>
        <v>0</v>
      </c>
      <c r="K20" s="59" t="s">
        <v>32</v>
      </c>
      <c r="L20" s="59" t="s">
        <v>33</v>
      </c>
      <c r="M20" s="59" t="s">
        <v>34</v>
      </c>
      <c r="N20" s="59" t="s">
        <v>35</v>
      </c>
    </row>
    <row r="21" spans="2:14" ht="15.75" customHeight="1" x14ac:dyDescent="0.25">
      <c r="B21" s="176"/>
      <c r="C21" s="2" t="s">
        <v>237</v>
      </c>
      <c r="D21" s="65">
        <v>0</v>
      </c>
      <c r="E21" s="66">
        <v>3000000</v>
      </c>
      <c r="F21" s="72">
        <f>+E21*D21</f>
        <v>0</v>
      </c>
      <c r="K21" s="59"/>
      <c r="L21" s="59"/>
      <c r="M21" s="59"/>
      <c r="N21" s="59"/>
    </row>
    <row r="22" spans="2:14" x14ac:dyDescent="0.25">
      <c r="B22" s="176"/>
      <c r="C22" s="2" t="s">
        <v>16</v>
      </c>
      <c r="D22" s="65">
        <v>1</v>
      </c>
      <c r="E22" s="66">
        <f>+ELECTROLIZADOR!AB11</f>
        <v>1843467</v>
      </c>
      <c r="F22" s="72">
        <f t="shared" ref="F22:F26" si="3">+E22*D22</f>
        <v>1843467</v>
      </c>
      <c r="K22" s="3" t="s">
        <v>36</v>
      </c>
      <c r="L22" s="3" t="s">
        <v>37</v>
      </c>
      <c r="M22" s="3" t="s">
        <v>38</v>
      </c>
      <c r="N22" s="3" t="s">
        <v>39</v>
      </c>
    </row>
    <row r="23" spans="2:14" x14ac:dyDescent="0.25">
      <c r="B23" s="176"/>
      <c r="C23" s="2" t="s">
        <v>18</v>
      </c>
      <c r="D23" s="65">
        <v>2</v>
      </c>
      <c r="E23" s="66">
        <v>80000</v>
      </c>
      <c r="F23" s="72">
        <f t="shared" si="3"/>
        <v>160000</v>
      </c>
      <c r="J23" s="70" t="s">
        <v>1</v>
      </c>
      <c r="K23" s="74">
        <v>0.5</v>
      </c>
      <c r="L23" s="75">
        <v>0.19</v>
      </c>
      <c r="M23" s="76">
        <v>0.33329999999999999</v>
      </c>
      <c r="N23" s="76">
        <v>0.4</v>
      </c>
    </row>
    <row r="24" spans="2:14" x14ac:dyDescent="0.25">
      <c r="B24" s="176"/>
      <c r="C24" s="2" t="s">
        <v>20</v>
      </c>
      <c r="D24" s="65">
        <v>1</v>
      </c>
      <c r="E24" s="66">
        <v>150000</v>
      </c>
      <c r="F24" s="72">
        <f t="shared" si="3"/>
        <v>150000</v>
      </c>
      <c r="J24" s="60" t="s">
        <v>13</v>
      </c>
      <c r="K24" s="66">
        <f>+($F$4+$F$6)*K23</f>
        <v>773900</v>
      </c>
      <c r="L24" s="66">
        <f>+($F$4+$F$6)*L23</f>
        <v>294082</v>
      </c>
      <c r="M24" s="66">
        <f>+($F$4+$F$6)*M23</f>
        <v>515881.74</v>
      </c>
      <c r="N24" s="66">
        <f>+($F$4+$F$6)*N23</f>
        <v>619120</v>
      </c>
    </row>
    <row r="25" spans="2:14" x14ac:dyDescent="0.25">
      <c r="B25" s="176"/>
      <c r="C25" s="2" t="s">
        <v>22</v>
      </c>
      <c r="D25" s="65">
        <v>1</v>
      </c>
      <c r="E25" s="66">
        <v>300000</v>
      </c>
      <c r="F25" s="72">
        <f t="shared" si="3"/>
        <v>300000</v>
      </c>
      <c r="J25" s="60" t="s">
        <v>15</v>
      </c>
      <c r="K25" s="66">
        <f>+($F$20+$F$22)*K23</f>
        <v>921733.5</v>
      </c>
      <c r="L25" s="66">
        <f>+($F$20+$F$22)*L23</f>
        <v>350258.73</v>
      </c>
      <c r="M25" s="66">
        <f>+($F$20+$F$22)*M23</f>
        <v>614427.55109999992</v>
      </c>
      <c r="N25" s="66">
        <f>+($F$20+$F$22)*N23</f>
        <v>737386.8</v>
      </c>
    </row>
    <row r="26" spans="2:14" x14ac:dyDescent="0.25">
      <c r="B26" s="176"/>
      <c r="C26" s="2" t="s">
        <v>23</v>
      </c>
      <c r="D26" s="65">
        <v>1</v>
      </c>
      <c r="E26" s="66">
        <f>+E22*45%</f>
        <v>829560.15</v>
      </c>
      <c r="F26" s="72">
        <f t="shared" si="3"/>
        <v>829560.15</v>
      </c>
      <c r="J26" s="60" t="s">
        <v>17</v>
      </c>
      <c r="K26" s="66">
        <f>+($F$36+$F$38)*K23</f>
        <v>1627090</v>
      </c>
      <c r="L26" s="66">
        <f>+($F$36+$F$38)*L23</f>
        <v>618294.19999999995</v>
      </c>
      <c r="M26" s="66">
        <f>+($F$36+$F$38)*M23</f>
        <v>1084618.1939999999</v>
      </c>
      <c r="N26" s="66">
        <f>+($F$36+$F$38)*N23</f>
        <v>1301672</v>
      </c>
    </row>
    <row r="27" spans="2:14" x14ac:dyDescent="0.25">
      <c r="B27" s="177" t="s">
        <v>24</v>
      </c>
      <c r="C27" s="178"/>
      <c r="D27" s="178"/>
      <c r="E27" s="178"/>
      <c r="F27" s="78">
        <f>SUM(F20:F26)</f>
        <v>3283027.15</v>
      </c>
      <c r="J27" s="60" t="s">
        <v>19</v>
      </c>
      <c r="K27" s="66">
        <f>+($F$52+$F$54)*K23</f>
        <v>2285585</v>
      </c>
      <c r="L27" s="66">
        <f>+($F$52+$F$54)*L23</f>
        <v>868522.3</v>
      </c>
      <c r="M27" s="66">
        <f>+($F$52+$F$54)*M23</f>
        <v>1523570.9609999999</v>
      </c>
      <c r="N27" s="66">
        <f>+($F$52+$F$54)*N23</f>
        <v>1828468</v>
      </c>
    </row>
    <row r="28" spans="2:14" x14ac:dyDescent="0.25">
      <c r="B28" s="176" t="s">
        <v>5</v>
      </c>
      <c r="C28" s="2" t="s">
        <v>25</v>
      </c>
      <c r="D28" s="179">
        <v>0.05</v>
      </c>
      <c r="E28" s="179"/>
      <c r="F28" s="72">
        <f>+D28*$F$27</f>
        <v>164151.35750000001</v>
      </c>
      <c r="J28" s="60" t="s">
        <v>40</v>
      </c>
      <c r="K28" s="66">
        <f>+($F$68+$F$70+$F$71)*K23</f>
        <v>1695633.5</v>
      </c>
      <c r="L28" s="66">
        <f>+($F$68+$F$70+$F$71)*L23</f>
        <v>644340.73</v>
      </c>
      <c r="M28" s="66">
        <f>+($F$68+$F$70+$F$71)*M23</f>
        <v>1130309.2911</v>
      </c>
      <c r="N28" s="66">
        <f>+($F$68+$F$70+$F$71)*N23</f>
        <v>1356506.8</v>
      </c>
    </row>
    <row r="29" spans="2:14" x14ac:dyDescent="0.25">
      <c r="B29" s="176"/>
      <c r="C29" s="2" t="s">
        <v>26</v>
      </c>
      <c r="D29" s="179">
        <v>0.02</v>
      </c>
      <c r="E29" s="179"/>
      <c r="F29" s="72">
        <f>+D29*$F$27</f>
        <v>65660.543000000005</v>
      </c>
    </row>
    <row r="30" spans="2:14" x14ac:dyDescent="0.25">
      <c r="B30" s="176"/>
      <c r="C30" s="2" t="s">
        <v>27</v>
      </c>
      <c r="D30" s="179">
        <v>0.05</v>
      </c>
      <c r="E30" s="179"/>
      <c r="F30" s="72">
        <f>+D30*$F$27</f>
        <v>164151.35750000001</v>
      </c>
    </row>
    <row r="31" spans="2:14" x14ac:dyDescent="0.25">
      <c r="B31" s="177" t="s">
        <v>28</v>
      </c>
      <c r="C31" s="178"/>
      <c r="D31" s="178"/>
      <c r="E31" s="178"/>
      <c r="F31" s="79">
        <f>SUM(F28:F30)</f>
        <v>393963.25800000003</v>
      </c>
      <c r="J31" s="59" t="s">
        <v>41</v>
      </c>
      <c r="K31" s="63">
        <v>1215</v>
      </c>
    </row>
    <row r="32" spans="2:14" ht="15.75" thickBot="1" x14ac:dyDescent="0.3">
      <c r="B32" s="180" t="s">
        <v>29</v>
      </c>
      <c r="C32" s="181"/>
      <c r="D32" s="181"/>
      <c r="E32" s="181"/>
      <c r="F32" s="73">
        <f>+F31+F27</f>
        <v>3676990.4079999998</v>
      </c>
    </row>
    <row r="33" spans="2:6" ht="15.75" thickBot="1" x14ac:dyDescent="0.3"/>
    <row r="34" spans="2:6" x14ac:dyDescent="0.25">
      <c r="B34" s="172"/>
      <c r="C34" s="174" t="s">
        <v>42</v>
      </c>
      <c r="D34" s="174"/>
      <c r="E34" s="174"/>
      <c r="F34" s="175"/>
    </row>
    <row r="35" spans="2:6" x14ac:dyDescent="0.25">
      <c r="B35" s="173"/>
      <c r="C35" s="59" t="s">
        <v>9</v>
      </c>
      <c r="D35" s="59" t="s">
        <v>10</v>
      </c>
      <c r="E35" s="59" t="s">
        <v>11</v>
      </c>
      <c r="F35" s="71" t="s">
        <v>12</v>
      </c>
    </row>
    <row r="36" spans="2:6" x14ac:dyDescent="0.25">
      <c r="B36" s="176" t="s">
        <v>3</v>
      </c>
      <c r="C36" s="2" t="s">
        <v>14</v>
      </c>
      <c r="D36" s="65">
        <v>0</v>
      </c>
      <c r="E36" s="66">
        <f>+'CTO SFV'!F10</f>
        <v>1244471.1309523808</v>
      </c>
      <c r="F36" s="72">
        <f>+E36*D36</f>
        <v>0</v>
      </c>
    </row>
    <row r="37" spans="2:6" x14ac:dyDescent="0.25">
      <c r="B37" s="176"/>
      <c r="C37" s="2" t="s">
        <v>237</v>
      </c>
      <c r="D37" s="65">
        <v>0</v>
      </c>
      <c r="E37" s="66">
        <v>3000000</v>
      </c>
      <c r="F37" s="72">
        <f>+E37*D37</f>
        <v>0</v>
      </c>
    </row>
    <row r="38" spans="2:6" x14ac:dyDescent="0.25">
      <c r="B38" s="176"/>
      <c r="C38" s="2" t="s">
        <v>16</v>
      </c>
      <c r="D38" s="65">
        <v>1</v>
      </c>
      <c r="E38" s="66">
        <f>+ELECTROLIZADOR!AB18</f>
        <v>3254180</v>
      </c>
      <c r="F38" s="72">
        <f t="shared" ref="F38:F42" si="4">+E38*D38</f>
        <v>3254180</v>
      </c>
    </row>
    <row r="39" spans="2:6" x14ac:dyDescent="0.25">
      <c r="B39" s="176"/>
      <c r="C39" s="2" t="s">
        <v>18</v>
      </c>
      <c r="D39" s="65">
        <v>2</v>
      </c>
      <c r="E39" s="66">
        <v>80000</v>
      </c>
      <c r="F39" s="72">
        <f t="shared" si="4"/>
        <v>160000</v>
      </c>
    </row>
    <row r="40" spans="2:6" x14ac:dyDescent="0.25">
      <c r="B40" s="176"/>
      <c r="C40" s="2" t="s">
        <v>20</v>
      </c>
      <c r="D40" s="65">
        <v>2</v>
      </c>
      <c r="E40" s="66">
        <v>150000</v>
      </c>
      <c r="F40" s="72">
        <f t="shared" si="4"/>
        <v>300000</v>
      </c>
    </row>
    <row r="41" spans="2:6" x14ac:dyDescent="0.25">
      <c r="B41" s="176"/>
      <c r="C41" s="2" t="s">
        <v>22</v>
      </c>
      <c r="D41" s="65">
        <v>2</v>
      </c>
      <c r="E41" s="66">
        <v>300000</v>
      </c>
      <c r="F41" s="72">
        <f t="shared" si="4"/>
        <v>600000</v>
      </c>
    </row>
    <row r="42" spans="2:6" x14ac:dyDescent="0.25">
      <c r="B42" s="176"/>
      <c r="C42" s="2" t="s">
        <v>23</v>
      </c>
      <c r="D42" s="65">
        <v>1</v>
      </c>
      <c r="E42" s="66">
        <f>+E38*45%</f>
        <v>1464381</v>
      </c>
      <c r="F42" s="72">
        <f t="shared" si="4"/>
        <v>1464381</v>
      </c>
    </row>
    <row r="43" spans="2:6" x14ac:dyDescent="0.25">
      <c r="B43" s="177" t="s">
        <v>24</v>
      </c>
      <c r="C43" s="178"/>
      <c r="D43" s="178"/>
      <c r="E43" s="178"/>
      <c r="F43" s="78">
        <f>SUM(F36:F42)</f>
        <v>5778561</v>
      </c>
    </row>
    <row r="44" spans="2:6" x14ac:dyDescent="0.25">
      <c r="B44" s="176" t="s">
        <v>5</v>
      </c>
      <c r="C44" s="2" t="s">
        <v>25</v>
      </c>
      <c r="D44" s="179">
        <v>0.05</v>
      </c>
      <c r="E44" s="179"/>
      <c r="F44" s="72">
        <f>+D44*$F$43</f>
        <v>288928.05</v>
      </c>
    </row>
    <row r="45" spans="2:6" x14ac:dyDescent="0.25">
      <c r="B45" s="176"/>
      <c r="C45" s="2" t="s">
        <v>26</v>
      </c>
      <c r="D45" s="179">
        <v>0.02</v>
      </c>
      <c r="E45" s="179"/>
      <c r="F45" s="72">
        <f>+D45*F43</f>
        <v>115571.22</v>
      </c>
    </row>
    <row r="46" spans="2:6" x14ac:dyDescent="0.25">
      <c r="B46" s="176"/>
      <c r="C46" s="2" t="s">
        <v>27</v>
      </c>
      <c r="D46" s="179">
        <v>0.05</v>
      </c>
      <c r="E46" s="179"/>
      <c r="F46" s="72">
        <f>+D46*F43</f>
        <v>288928.05</v>
      </c>
    </row>
    <row r="47" spans="2:6" x14ac:dyDescent="0.25">
      <c r="B47" s="177" t="s">
        <v>28</v>
      </c>
      <c r="C47" s="178"/>
      <c r="D47" s="178"/>
      <c r="E47" s="178"/>
      <c r="F47" s="79">
        <f>SUM(F44:F46)</f>
        <v>693427.32000000007</v>
      </c>
    </row>
    <row r="48" spans="2:6" ht="15.75" thickBot="1" x14ac:dyDescent="0.3">
      <c r="B48" s="180" t="s">
        <v>29</v>
      </c>
      <c r="C48" s="181"/>
      <c r="D48" s="181"/>
      <c r="E48" s="181"/>
      <c r="F48" s="73">
        <f>+F47+F43</f>
        <v>6471988.3200000003</v>
      </c>
    </row>
    <row r="49" spans="2:6" ht="15.75" thickBot="1" x14ac:dyDescent="0.3"/>
    <row r="50" spans="2:6" x14ac:dyDescent="0.25">
      <c r="B50" s="172"/>
      <c r="C50" s="174" t="s">
        <v>43</v>
      </c>
      <c r="D50" s="174"/>
      <c r="E50" s="174"/>
      <c r="F50" s="175"/>
    </row>
    <row r="51" spans="2:6" x14ac:dyDescent="0.25">
      <c r="B51" s="173"/>
      <c r="C51" s="59" t="s">
        <v>9</v>
      </c>
      <c r="D51" s="59" t="s">
        <v>10</v>
      </c>
      <c r="E51" s="59" t="s">
        <v>11</v>
      </c>
      <c r="F51" s="71" t="s">
        <v>12</v>
      </c>
    </row>
    <row r="52" spans="2:6" x14ac:dyDescent="0.25">
      <c r="B52" s="176" t="s">
        <v>3</v>
      </c>
      <c r="C52" s="2" t="s">
        <v>14</v>
      </c>
      <c r="D52" s="65">
        <v>0</v>
      </c>
      <c r="E52" s="66">
        <f>+'CTO SFV'!F10</f>
        <v>1244471.1309523808</v>
      </c>
      <c r="F52" s="72">
        <f>+E52*D52</f>
        <v>0</v>
      </c>
    </row>
    <row r="53" spans="2:6" x14ac:dyDescent="0.25">
      <c r="B53" s="176"/>
      <c r="C53" s="2" t="s">
        <v>237</v>
      </c>
      <c r="D53" s="65">
        <v>0</v>
      </c>
      <c r="E53" s="66">
        <v>3000000</v>
      </c>
      <c r="F53" s="72">
        <f>+E53*D53</f>
        <v>0</v>
      </c>
    </row>
    <row r="54" spans="2:6" x14ac:dyDescent="0.25">
      <c r="B54" s="176"/>
      <c r="C54" s="2" t="s">
        <v>16</v>
      </c>
      <c r="D54" s="65">
        <v>1</v>
      </c>
      <c r="E54" s="66">
        <f>+ELECTROLIZADOR!AB20</f>
        <v>4571170</v>
      </c>
      <c r="F54" s="72">
        <f t="shared" ref="F54:F58" si="5">+E54*D54</f>
        <v>4571170</v>
      </c>
    </row>
    <row r="55" spans="2:6" x14ac:dyDescent="0.25">
      <c r="B55" s="176"/>
      <c r="C55" s="2" t="s">
        <v>18</v>
      </c>
      <c r="D55" s="65">
        <v>2</v>
      </c>
      <c r="E55" s="66">
        <v>80000</v>
      </c>
      <c r="F55" s="72">
        <f t="shared" si="5"/>
        <v>160000</v>
      </c>
    </row>
    <row r="56" spans="2:6" x14ac:dyDescent="0.25">
      <c r="B56" s="176"/>
      <c r="C56" s="2" t="s">
        <v>20</v>
      </c>
      <c r="D56" s="65">
        <v>3</v>
      </c>
      <c r="E56" s="66">
        <v>150000</v>
      </c>
      <c r="F56" s="72">
        <f t="shared" si="5"/>
        <v>450000</v>
      </c>
    </row>
    <row r="57" spans="2:6" x14ac:dyDescent="0.25">
      <c r="B57" s="176"/>
      <c r="C57" s="2" t="s">
        <v>22</v>
      </c>
      <c r="D57" s="65">
        <v>3</v>
      </c>
      <c r="E57" s="66">
        <v>300000</v>
      </c>
      <c r="F57" s="72">
        <f t="shared" si="5"/>
        <v>900000</v>
      </c>
    </row>
    <row r="58" spans="2:6" x14ac:dyDescent="0.25">
      <c r="B58" s="176"/>
      <c r="C58" s="2" t="s">
        <v>23</v>
      </c>
      <c r="D58" s="65">
        <v>1</v>
      </c>
      <c r="E58" s="66">
        <f>+E54*45%</f>
        <v>2057026.5</v>
      </c>
      <c r="F58" s="72">
        <f t="shared" si="5"/>
        <v>2057026.5</v>
      </c>
    </row>
    <row r="59" spans="2:6" x14ac:dyDescent="0.25">
      <c r="B59" s="177" t="s">
        <v>24</v>
      </c>
      <c r="C59" s="178"/>
      <c r="D59" s="178"/>
      <c r="E59" s="178"/>
      <c r="F59" s="78">
        <f>SUM(F52:F58)</f>
        <v>8138196.5</v>
      </c>
    </row>
    <row r="60" spans="2:6" x14ac:dyDescent="0.25">
      <c r="B60" s="176" t="s">
        <v>5</v>
      </c>
      <c r="C60" s="2" t="s">
        <v>25</v>
      </c>
      <c r="D60" s="179">
        <v>0.05</v>
      </c>
      <c r="E60" s="179"/>
      <c r="F60" s="72">
        <f>+D60*F59</f>
        <v>406909.82500000001</v>
      </c>
    </row>
    <row r="61" spans="2:6" x14ac:dyDescent="0.25">
      <c r="B61" s="176"/>
      <c r="C61" s="2" t="s">
        <v>26</v>
      </c>
      <c r="D61" s="179">
        <v>0.02</v>
      </c>
      <c r="E61" s="179"/>
      <c r="F61" s="72">
        <f>+D61*F59</f>
        <v>162763.93</v>
      </c>
    </row>
    <row r="62" spans="2:6" x14ac:dyDescent="0.25">
      <c r="B62" s="176"/>
      <c r="C62" s="2" t="s">
        <v>27</v>
      </c>
      <c r="D62" s="179">
        <v>0.05</v>
      </c>
      <c r="E62" s="179"/>
      <c r="F62" s="72">
        <f>+D62*F59</f>
        <v>406909.82500000001</v>
      </c>
    </row>
    <row r="63" spans="2:6" x14ac:dyDescent="0.25">
      <c r="B63" s="177" t="s">
        <v>28</v>
      </c>
      <c r="C63" s="178"/>
      <c r="D63" s="178"/>
      <c r="E63" s="178"/>
      <c r="F63" s="79">
        <f>SUM(F60:F62)</f>
        <v>976583.58000000007</v>
      </c>
    </row>
    <row r="64" spans="2:6" ht="15.75" thickBot="1" x14ac:dyDescent="0.3">
      <c r="B64" s="180" t="s">
        <v>29</v>
      </c>
      <c r="C64" s="181"/>
      <c r="D64" s="181"/>
      <c r="E64" s="181"/>
      <c r="F64" s="73">
        <f>+F63+F59</f>
        <v>9114780.0800000001</v>
      </c>
    </row>
    <row r="65" spans="2:6" ht="15.75" thickBot="1" x14ac:dyDescent="0.3"/>
    <row r="66" spans="2:6" x14ac:dyDescent="0.25">
      <c r="B66" s="172"/>
      <c r="C66" s="174" t="s">
        <v>44</v>
      </c>
      <c r="D66" s="174"/>
      <c r="E66" s="174"/>
      <c r="F66" s="175"/>
    </row>
    <row r="67" spans="2:6" x14ac:dyDescent="0.25">
      <c r="B67" s="173"/>
      <c r="C67" s="59" t="s">
        <v>9</v>
      </c>
      <c r="D67" s="59" t="s">
        <v>10</v>
      </c>
      <c r="E67" s="59" t="s">
        <v>11</v>
      </c>
      <c r="F67" s="71" t="s">
        <v>12</v>
      </c>
    </row>
    <row r="68" spans="2:6" x14ac:dyDescent="0.25">
      <c r="B68" s="176" t="s">
        <v>3</v>
      </c>
      <c r="C68" s="2" t="s">
        <v>14</v>
      </c>
      <c r="D68" s="65">
        <v>0</v>
      </c>
      <c r="E68" s="66">
        <f>+'CTO SFV'!F10</f>
        <v>1244471.1309523808</v>
      </c>
      <c r="F68" s="72">
        <f>+E68*D68</f>
        <v>0</v>
      </c>
    </row>
    <row r="69" spans="2:6" x14ac:dyDescent="0.25">
      <c r="B69" s="176"/>
      <c r="C69" s="2" t="s">
        <v>237</v>
      </c>
      <c r="D69" s="65">
        <v>0</v>
      </c>
      <c r="E69" s="66">
        <v>3000000</v>
      </c>
      <c r="F69" s="72">
        <f>+E69*D69</f>
        <v>0</v>
      </c>
    </row>
    <row r="70" spans="2:6" x14ac:dyDescent="0.25">
      <c r="B70" s="176"/>
      <c r="C70" s="2" t="s">
        <v>45</v>
      </c>
      <c r="D70" s="65">
        <v>1</v>
      </c>
      <c r="E70" s="66">
        <f>+ELECTROLIZADOR!AB16</f>
        <v>1547800</v>
      </c>
      <c r="F70" s="72">
        <f t="shared" ref="F70:F75" si="6">+E70*D70</f>
        <v>1547800</v>
      </c>
    </row>
    <row r="71" spans="2:6" x14ac:dyDescent="0.25">
      <c r="B71" s="176"/>
      <c r="C71" s="2" t="s">
        <v>46</v>
      </c>
      <c r="D71" s="65">
        <v>1</v>
      </c>
      <c r="E71" s="66">
        <f>+ELECTROLIZADOR!AB11</f>
        <v>1843467</v>
      </c>
      <c r="F71" s="72">
        <f t="shared" si="6"/>
        <v>1843467</v>
      </c>
    </row>
    <row r="72" spans="2:6" x14ac:dyDescent="0.25">
      <c r="B72" s="176"/>
      <c r="C72" s="2" t="s">
        <v>18</v>
      </c>
      <c r="D72" s="65">
        <v>2</v>
      </c>
      <c r="E72" s="66">
        <v>80000</v>
      </c>
      <c r="F72" s="72">
        <f t="shared" si="6"/>
        <v>160000</v>
      </c>
    </row>
    <row r="73" spans="2:6" x14ac:dyDescent="0.25">
      <c r="B73" s="176"/>
      <c r="C73" s="2" t="s">
        <v>20</v>
      </c>
      <c r="D73" s="65">
        <v>2</v>
      </c>
      <c r="E73" s="66">
        <v>150000</v>
      </c>
      <c r="F73" s="72">
        <f t="shared" si="6"/>
        <v>300000</v>
      </c>
    </row>
    <row r="74" spans="2:6" x14ac:dyDescent="0.25">
      <c r="B74" s="176"/>
      <c r="C74" s="2" t="s">
        <v>22</v>
      </c>
      <c r="D74" s="65">
        <v>2</v>
      </c>
      <c r="E74" s="66">
        <v>300000</v>
      </c>
      <c r="F74" s="72">
        <f t="shared" si="6"/>
        <v>600000</v>
      </c>
    </row>
    <row r="75" spans="2:6" x14ac:dyDescent="0.25">
      <c r="B75" s="176"/>
      <c r="C75" s="2" t="s">
        <v>23</v>
      </c>
      <c r="D75" s="65">
        <v>1</v>
      </c>
      <c r="E75" s="66">
        <f>+E71*45%</f>
        <v>829560.15</v>
      </c>
      <c r="F75" s="72">
        <f t="shared" si="6"/>
        <v>829560.15</v>
      </c>
    </row>
    <row r="76" spans="2:6" x14ac:dyDescent="0.25">
      <c r="B76" s="177" t="s">
        <v>24</v>
      </c>
      <c r="C76" s="178"/>
      <c r="D76" s="178"/>
      <c r="E76" s="178"/>
      <c r="F76" s="78">
        <f>SUM(F68:F75)</f>
        <v>5280827.1500000004</v>
      </c>
    </row>
    <row r="77" spans="2:6" x14ac:dyDescent="0.25">
      <c r="B77" s="176" t="s">
        <v>5</v>
      </c>
      <c r="C77" s="2" t="s">
        <v>25</v>
      </c>
      <c r="D77" s="179">
        <v>0.05</v>
      </c>
      <c r="E77" s="179"/>
      <c r="F77" s="72">
        <f>+D77*F76</f>
        <v>264041.35750000004</v>
      </c>
    </row>
    <row r="78" spans="2:6" x14ac:dyDescent="0.25">
      <c r="B78" s="176"/>
      <c r="C78" s="2" t="s">
        <v>26</v>
      </c>
      <c r="D78" s="179">
        <v>0.02</v>
      </c>
      <c r="E78" s="179"/>
      <c r="F78" s="72">
        <f>+D78*F76</f>
        <v>105616.54300000001</v>
      </c>
    </row>
    <row r="79" spans="2:6" x14ac:dyDescent="0.25">
      <c r="B79" s="176"/>
      <c r="C79" s="2" t="s">
        <v>27</v>
      </c>
      <c r="D79" s="179">
        <v>0.05</v>
      </c>
      <c r="E79" s="179"/>
      <c r="F79" s="72">
        <f>+D79*F76</f>
        <v>264041.35750000004</v>
      </c>
    </row>
    <row r="80" spans="2:6" x14ac:dyDescent="0.25">
      <c r="B80" s="177" t="s">
        <v>28</v>
      </c>
      <c r="C80" s="178"/>
      <c r="D80" s="178"/>
      <c r="E80" s="178"/>
      <c r="F80" s="79">
        <f>SUM(F77:F79)</f>
        <v>633699.25800000015</v>
      </c>
    </row>
    <row r="81" spans="2:6" ht="15.75" thickBot="1" x14ac:dyDescent="0.3">
      <c r="B81" s="180" t="s">
        <v>29</v>
      </c>
      <c r="C81" s="181"/>
      <c r="D81" s="181"/>
      <c r="E81" s="181"/>
      <c r="F81" s="73">
        <f>+F80+F76</f>
        <v>5914526.4080000008</v>
      </c>
    </row>
  </sheetData>
  <mergeCells count="50">
    <mergeCell ref="B50:B51"/>
    <mergeCell ref="C50:F50"/>
    <mergeCell ref="B52:B58"/>
    <mergeCell ref="B59:E59"/>
    <mergeCell ref="B60:B62"/>
    <mergeCell ref="D60:E60"/>
    <mergeCell ref="D61:E61"/>
    <mergeCell ref="D62:E62"/>
    <mergeCell ref="B80:E80"/>
    <mergeCell ref="B81:E81"/>
    <mergeCell ref="B63:E63"/>
    <mergeCell ref="B64:E64"/>
    <mergeCell ref="B66:B67"/>
    <mergeCell ref="C66:F66"/>
    <mergeCell ref="B68:B75"/>
    <mergeCell ref="B76:E76"/>
    <mergeCell ref="B77:B79"/>
    <mergeCell ref="D77:E77"/>
    <mergeCell ref="D78:E78"/>
    <mergeCell ref="D79:E79"/>
    <mergeCell ref="D46:E46"/>
    <mergeCell ref="B47:E47"/>
    <mergeCell ref="B48:E48"/>
    <mergeCell ref="B31:E31"/>
    <mergeCell ref="B32:E32"/>
    <mergeCell ref="B34:B35"/>
    <mergeCell ref="C34:F34"/>
    <mergeCell ref="B36:B42"/>
    <mergeCell ref="B43:E43"/>
    <mergeCell ref="B44:B46"/>
    <mergeCell ref="D44:E44"/>
    <mergeCell ref="D45:E45"/>
    <mergeCell ref="B20:B26"/>
    <mergeCell ref="B27:E27"/>
    <mergeCell ref="B28:B30"/>
    <mergeCell ref="D28:E28"/>
    <mergeCell ref="D29:E29"/>
    <mergeCell ref="D30:E30"/>
    <mergeCell ref="B18:B19"/>
    <mergeCell ref="C18:F18"/>
    <mergeCell ref="C2:F2"/>
    <mergeCell ref="B4:B10"/>
    <mergeCell ref="B12:B14"/>
    <mergeCell ref="B11:E11"/>
    <mergeCell ref="B2:B3"/>
    <mergeCell ref="B15:E15"/>
    <mergeCell ref="D12:E12"/>
    <mergeCell ref="D13:E13"/>
    <mergeCell ref="D14:E14"/>
    <mergeCell ref="B16:E1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7592E-EAC3-4416-9090-282C0793A49B}">
  <dimension ref="B3:O8"/>
  <sheetViews>
    <sheetView showGridLines="0" workbookViewId="0">
      <selection activeCell="E7" sqref="E7"/>
    </sheetView>
  </sheetViews>
  <sheetFormatPr baseColWidth="10" defaultColWidth="11.42578125" defaultRowHeight="15" x14ac:dyDescent="0.25"/>
  <cols>
    <col min="2" max="2" width="18.28515625" customWidth="1"/>
    <col min="4" max="4" width="12.7109375" customWidth="1"/>
    <col min="5" max="5" width="11.42578125" customWidth="1"/>
    <col min="6" max="6" width="16.28515625" customWidth="1"/>
    <col min="12" max="12" width="4.5703125" customWidth="1"/>
    <col min="13" max="15" width="17.140625" customWidth="1"/>
  </cols>
  <sheetData>
    <row r="3" spans="2:15" ht="63" x14ac:dyDescent="0.25">
      <c r="B3" s="85" t="s">
        <v>47</v>
      </c>
      <c r="C3" s="85" t="s">
        <v>48</v>
      </c>
      <c r="D3" s="85" t="s">
        <v>49</v>
      </c>
      <c r="E3" s="85" t="s">
        <v>50</v>
      </c>
      <c r="F3" s="91" t="s">
        <v>51</v>
      </c>
      <c r="G3" s="85" t="s">
        <v>52</v>
      </c>
      <c r="H3" s="85" t="s">
        <v>53</v>
      </c>
      <c r="I3" s="91" t="s">
        <v>54</v>
      </c>
      <c r="J3" s="85" t="s">
        <v>55</v>
      </c>
      <c r="K3" s="85" t="s">
        <v>56</v>
      </c>
      <c r="M3" s="85" t="s">
        <v>57</v>
      </c>
      <c r="N3" s="85" t="s">
        <v>58</v>
      </c>
      <c r="O3" s="85" t="s">
        <v>59</v>
      </c>
    </row>
    <row r="4" spans="2:15" ht="15.75" x14ac:dyDescent="0.25">
      <c r="B4" s="86" t="s">
        <v>13</v>
      </c>
      <c r="C4" s="87">
        <v>215</v>
      </c>
      <c r="D4" s="87">
        <v>538</v>
      </c>
      <c r="E4" s="88">
        <v>0.85</v>
      </c>
      <c r="F4" s="89">
        <v>24</v>
      </c>
      <c r="G4" s="87">
        <f>+D4*F4</f>
        <v>12912</v>
      </c>
      <c r="H4" s="87">
        <f>+G4/24</f>
        <v>538</v>
      </c>
      <c r="I4" s="96">
        <f>+H4/K4</f>
        <v>60.055813953488368</v>
      </c>
      <c r="J4" s="87">
        <f>+(D4/I4)*E4*8760</f>
        <v>66703.75</v>
      </c>
      <c r="K4" s="90">
        <f>+C4/24</f>
        <v>8.9583333333333339</v>
      </c>
      <c r="M4" s="86">
        <v>150.69999999999999</v>
      </c>
      <c r="N4" s="121">
        <f>+M4/1000</f>
        <v>0.1507</v>
      </c>
      <c r="O4" s="121">
        <f>+N4/K4</f>
        <v>1.6822325581395348E-2</v>
      </c>
    </row>
    <row r="5" spans="2:15" ht="15.75" x14ac:dyDescent="0.25">
      <c r="B5" s="86" t="s">
        <v>15</v>
      </c>
      <c r="C5" s="87">
        <v>430</v>
      </c>
      <c r="D5" s="87">
        <v>1000</v>
      </c>
      <c r="E5" s="88">
        <v>0.85</v>
      </c>
      <c r="F5" s="89">
        <v>24</v>
      </c>
      <c r="G5" s="87">
        <f>+D5*F5</f>
        <v>24000</v>
      </c>
      <c r="H5" s="87">
        <f t="shared" ref="H5:H8" si="0">+G5/24</f>
        <v>1000</v>
      </c>
      <c r="I5" s="96">
        <f>+H5/K5</f>
        <v>55.813953488372093</v>
      </c>
      <c r="J5" s="87">
        <f>+(D5/I5)*E5*8760</f>
        <v>133407.5</v>
      </c>
      <c r="K5" s="90">
        <f>+C5/24</f>
        <v>17.916666666666668</v>
      </c>
      <c r="M5" s="86">
        <v>301.39999999999998</v>
      </c>
      <c r="N5" s="120">
        <f t="shared" ref="N5:N8" si="1">+M5/1000</f>
        <v>0.3014</v>
      </c>
      <c r="O5" s="121">
        <f>+N5/K5</f>
        <v>1.6822325581395348E-2</v>
      </c>
    </row>
    <row r="6" spans="2:15" ht="15.75" x14ac:dyDescent="0.25">
      <c r="B6" s="86" t="s">
        <v>17</v>
      </c>
      <c r="C6" s="87">
        <v>860</v>
      </c>
      <c r="D6" s="87">
        <v>2100</v>
      </c>
      <c r="E6" s="88">
        <v>0.85</v>
      </c>
      <c r="F6" s="89">
        <v>24</v>
      </c>
      <c r="G6" s="87">
        <f>+D6*F6</f>
        <v>50400</v>
      </c>
      <c r="H6" s="87">
        <f t="shared" si="0"/>
        <v>2100</v>
      </c>
      <c r="I6" s="96">
        <f>+H6/K6</f>
        <v>58.604651162790695</v>
      </c>
      <c r="J6" s="87">
        <f>+(D6/I6)*E6*8760</f>
        <v>266815</v>
      </c>
      <c r="K6" s="90">
        <f>+C6/24</f>
        <v>35.833333333333336</v>
      </c>
      <c r="M6" s="86">
        <v>603.79999999999995</v>
      </c>
      <c r="N6" s="120">
        <f t="shared" si="1"/>
        <v>0.6038</v>
      </c>
      <c r="O6" s="121">
        <f>+N6/K6</f>
        <v>1.6850232558139534E-2</v>
      </c>
    </row>
    <row r="7" spans="2:15" ht="15.75" x14ac:dyDescent="0.25">
      <c r="B7" s="86" t="s">
        <v>19</v>
      </c>
      <c r="C7" s="87">
        <v>1290</v>
      </c>
      <c r="D7" s="87">
        <v>3100</v>
      </c>
      <c r="E7" s="88">
        <v>0.85</v>
      </c>
      <c r="F7" s="89">
        <v>24</v>
      </c>
      <c r="G7" s="87">
        <f>+D7*F7</f>
        <v>74400</v>
      </c>
      <c r="H7" s="87">
        <f t="shared" si="0"/>
        <v>3100</v>
      </c>
      <c r="I7" s="96">
        <f>+H7/K7</f>
        <v>57.674418604651166</v>
      </c>
      <c r="J7" s="87">
        <f>+(D7/I7)*E7*8760</f>
        <v>400222.5</v>
      </c>
      <c r="K7" s="90">
        <f>+C7/24</f>
        <v>53.75</v>
      </c>
      <c r="M7" s="86">
        <v>1206</v>
      </c>
      <c r="N7" s="120">
        <f t="shared" si="1"/>
        <v>1.206</v>
      </c>
      <c r="O7" s="121">
        <f>+N7/K7</f>
        <v>2.2437209302325581E-2</v>
      </c>
    </row>
    <row r="8" spans="2:15" ht="15.75" x14ac:dyDescent="0.25">
      <c r="B8" s="86" t="s">
        <v>21</v>
      </c>
      <c r="C8" s="87">
        <f>+C4+C5</f>
        <v>645</v>
      </c>
      <c r="D8" s="87">
        <f>+D4+D5</f>
        <v>1538</v>
      </c>
      <c r="E8" s="88">
        <v>0.85</v>
      </c>
      <c r="F8" s="89">
        <v>24</v>
      </c>
      <c r="G8" s="87">
        <f>+D8*F8</f>
        <v>36912</v>
      </c>
      <c r="H8" s="87">
        <f t="shared" si="0"/>
        <v>1538</v>
      </c>
      <c r="I8" s="96">
        <f>+H8/K8</f>
        <v>57.227906976744187</v>
      </c>
      <c r="J8" s="87">
        <f>+(D8/I8)*E8*8760</f>
        <v>200111.25</v>
      </c>
      <c r="K8" s="90">
        <f>+C8/24</f>
        <v>26.875</v>
      </c>
      <c r="M8" s="64">
        <f>+M4+M5</f>
        <v>452.09999999999997</v>
      </c>
      <c r="N8" s="120">
        <f t="shared" si="1"/>
        <v>0.45209999999999995</v>
      </c>
      <c r="O8" s="121">
        <f>+N8/K8</f>
        <v>1.6822325581395348E-2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CDE4F-0660-40CC-A423-36ED8F2A8756}">
  <dimension ref="B2:N49"/>
  <sheetViews>
    <sheetView showGridLines="0" zoomScale="120" zoomScaleNormal="120" workbookViewId="0">
      <selection activeCell="F14" sqref="F14"/>
    </sheetView>
  </sheetViews>
  <sheetFormatPr baseColWidth="10" defaultColWidth="11.42578125" defaultRowHeight="15.95" customHeight="1" x14ac:dyDescent="0.25"/>
  <cols>
    <col min="2" max="2" width="5.5703125" bestFit="1" customWidth="1"/>
    <col min="3" max="3" width="17.85546875" customWidth="1"/>
    <col min="4" max="4" width="14.7109375" bestFit="1" customWidth="1"/>
    <col min="5" max="5" width="14.85546875" bestFit="1" customWidth="1"/>
    <col min="6" max="6" width="15.140625" bestFit="1" customWidth="1"/>
    <col min="7" max="7" width="37.42578125" customWidth="1"/>
    <col min="9" max="9" width="9.85546875" bestFit="1" customWidth="1"/>
    <col min="11" max="11" width="9.85546875" bestFit="1" customWidth="1"/>
    <col min="13" max="13" width="9.85546875" bestFit="1" customWidth="1"/>
    <col min="15" max="17" width="8.140625" bestFit="1" customWidth="1"/>
    <col min="26" max="26" width="13.5703125" bestFit="1" customWidth="1"/>
  </cols>
  <sheetData>
    <row r="2" spans="2:14" ht="15.95" customHeight="1" x14ac:dyDescent="0.25">
      <c r="B2" s="186" t="s">
        <v>3</v>
      </c>
      <c r="C2" s="186"/>
      <c r="D2" s="186"/>
      <c r="E2" s="186"/>
      <c r="F2" s="186"/>
      <c r="G2" s="187" t="s">
        <v>60</v>
      </c>
    </row>
    <row r="3" spans="2:14" ht="15.95" customHeight="1" x14ac:dyDescent="0.25">
      <c r="B3" s="4" t="s">
        <v>61</v>
      </c>
      <c r="C3" s="4" t="s">
        <v>62</v>
      </c>
      <c r="D3" s="4" t="s">
        <v>63</v>
      </c>
      <c r="E3" s="4" t="s">
        <v>64</v>
      </c>
      <c r="F3" s="4" t="s">
        <v>65</v>
      </c>
      <c r="G3" s="188"/>
    </row>
    <row r="4" spans="2:14" ht="15.95" customHeight="1" x14ac:dyDescent="0.25">
      <c r="B4" s="65">
        <v>1</v>
      </c>
      <c r="C4" s="65" t="s">
        <v>66</v>
      </c>
      <c r="D4" s="65">
        <v>2850</v>
      </c>
      <c r="E4" s="66">
        <f>850000/$F$11</f>
        <v>202.38095238095238</v>
      </c>
      <c r="F4" s="66">
        <f>(E4*D4)</f>
        <v>576785.71428571432</v>
      </c>
      <c r="G4" s="2" t="s">
        <v>67</v>
      </c>
    </row>
    <row r="5" spans="2:14" ht="15.95" customHeight="1" x14ac:dyDescent="0.25">
      <c r="B5" s="65">
        <v>2</v>
      </c>
      <c r="C5" s="65" t="s">
        <v>68</v>
      </c>
      <c r="D5" s="65">
        <v>20</v>
      </c>
      <c r="E5" s="66">
        <f>47000000/F11</f>
        <v>11190.476190476191</v>
      </c>
      <c r="F5" s="66">
        <f t="shared" ref="F5:F8" si="0">(E5*D5)</f>
        <v>223809.52380952382</v>
      </c>
      <c r="G5" s="2" t="s">
        <v>69</v>
      </c>
    </row>
    <row r="6" spans="2:14" ht="15.95" customHeight="1" x14ac:dyDescent="0.25">
      <c r="B6" s="65">
        <v>3</v>
      </c>
      <c r="C6" s="65" t="s">
        <v>70</v>
      </c>
      <c r="D6" s="65">
        <v>2850</v>
      </c>
      <c r="E6" s="66">
        <f>+E4*5%</f>
        <v>10.11904761904762</v>
      </c>
      <c r="F6" s="66">
        <f t="shared" si="0"/>
        <v>28839.285714285717</v>
      </c>
      <c r="G6" s="61" t="s">
        <v>71</v>
      </c>
      <c r="I6" s="6"/>
      <c r="J6" s="6"/>
      <c r="K6" s="6"/>
    </row>
    <row r="7" spans="2:14" ht="15.95" customHeight="1" x14ac:dyDescent="0.25">
      <c r="B7" s="65">
        <v>4</v>
      </c>
      <c r="C7" s="65" t="s">
        <v>72</v>
      </c>
      <c r="D7" s="65">
        <v>2850</v>
      </c>
      <c r="E7" s="66">
        <f>+E4*0.4</f>
        <v>80.952380952380963</v>
      </c>
      <c r="F7" s="66">
        <f t="shared" si="0"/>
        <v>230714.28571428574</v>
      </c>
      <c r="G7" s="69" t="s">
        <v>73</v>
      </c>
      <c r="I7" s="6"/>
      <c r="J7" s="6"/>
      <c r="N7" s="6"/>
    </row>
    <row r="8" spans="2:14" ht="15.95" customHeight="1" x14ac:dyDescent="0.25">
      <c r="B8" s="65">
        <v>5</v>
      </c>
      <c r="C8" s="65" t="s">
        <v>74</v>
      </c>
      <c r="D8" s="65">
        <v>660</v>
      </c>
      <c r="E8" s="66">
        <f>140000/F11</f>
        <v>33.333333333333336</v>
      </c>
      <c r="F8" s="66">
        <f t="shared" si="0"/>
        <v>22000</v>
      </c>
      <c r="G8" s="62" t="s">
        <v>75</v>
      </c>
      <c r="I8" s="6"/>
      <c r="J8" s="6"/>
      <c r="K8" s="6"/>
    </row>
    <row r="9" spans="2:14" ht="15.95" customHeight="1" x14ac:dyDescent="0.25">
      <c r="B9" s="65">
        <v>6</v>
      </c>
      <c r="C9" s="65" t="s">
        <v>76</v>
      </c>
      <c r="D9" s="67">
        <v>1.4999999999999999E-2</v>
      </c>
      <c r="E9" s="68"/>
      <c r="F9" s="66">
        <f>SUM(F4:F8)*0.15</f>
        <v>162322.32142857142</v>
      </c>
      <c r="G9" s="2"/>
      <c r="I9" s="6"/>
      <c r="J9" s="6"/>
      <c r="K9" s="6"/>
    </row>
    <row r="10" spans="2:14" ht="15.95" customHeight="1" x14ac:dyDescent="0.25">
      <c r="B10" s="3"/>
      <c r="C10" s="182" t="s">
        <v>77</v>
      </c>
      <c r="D10" s="183"/>
      <c r="E10" s="184"/>
      <c r="F10" s="66">
        <f>SUM(F4:F9)</f>
        <v>1244471.1309523808</v>
      </c>
      <c r="G10" s="58"/>
      <c r="I10" s="6"/>
      <c r="J10" s="6"/>
      <c r="K10" s="6"/>
    </row>
    <row r="11" spans="2:14" ht="15.95" hidden="1" customHeight="1" x14ac:dyDescent="0.25">
      <c r="C11" s="185" t="s">
        <v>78</v>
      </c>
      <c r="D11" s="185"/>
      <c r="E11" s="185"/>
      <c r="F11" s="9">
        <v>4200</v>
      </c>
      <c r="G11" s="9"/>
      <c r="I11" s="6"/>
      <c r="J11" s="6"/>
      <c r="K11" s="6"/>
    </row>
    <row r="12" spans="2:14" ht="15.95" customHeight="1" x14ac:dyDescent="0.25">
      <c r="C12" s="1"/>
      <c r="D12" s="10"/>
      <c r="E12" s="1"/>
      <c r="F12" s="11"/>
      <c r="G12" s="10"/>
    </row>
    <row r="13" spans="2:14" ht="15.95" customHeight="1" x14ac:dyDescent="0.25">
      <c r="C13" s="8"/>
      <c r="D13" s="5"/>
    </row>
    <row r="14" spans="2:14" ht="15.95" customHeight="1" x14ac:dyDescent="0.25">
      <c r="B14" s="82" t="s">
        <v>79</v>
      </c>
      <c r="C14" s="8"/>
      <c r="D14" s="12">
        <v>3451459.5</v>
      </c>
      <c r="E14" t="s">
        <v>80</v>
      </c>
      <c r="F14" s="57">
        <f>+F10/D14</f>
        <v>0.36056373570438272</v>
      </c>
      <c r="G14" s="84">
        <f>+F14*4200</f>
        <v>1514.3676899584075</v>
      </c>
    </row>
    <row r="15" spans="2:14" ht="15.95" customHeight="1" x14ac:dyDescent="0.25">
      <c r="C15" s="8"/>
      <c r="D15" s="5"/>
    </row>
    <row r="16" spans="2:14" ht="15.95" customHeight="1" x14ac:dyDescent="0.25">
      <c r="C16" s="8"/>
      <c r="D16" s="5"/>
    </row>
    <row r="17" spans="3:7" ht="15.95" customHeight="1" x14ac:dyDescent="0.25">
      <c r="C17" s="8"/>
      <c r="D17" s="5"/>
    </row>
    <row r="18" spans="3:7" ht="15.95" customHeight="1" x14ac:dyDescent="0.25">
      <c r="C18" s="8"/>
      <c r="D18" s="5"/>
    </row>
    <row r="19" spans="3:7" ht="15.95" customHeight="1" x14ac:dyDescent="0.25">
      <c r="C19" s="8"/>
      <c r="D19" s="5"/>
      <c r="F19" s="8"/>
      <c r="G19" s="5"/>
    </row>
    <row r="20" spans="3:7" ht="15.95" customHeight="1" x14ac:dyDescent="0.25">
      <c r="C20" s="8"/>
      <c r="D20" s="5"/>
      <c r="F20" s="8"/>
      <c r="G20" s="5"/>
    </row>
    <row r="21" spans="3:7" ht="15.95" customHeight="1" x14ac:dyDescent="0.25">
      <c r="C21" s="8"/>
      <c r="D21" s="5"/>
      <c r="F21" s="8"/>
      <c r="G21" s="5"/>
    </row>
    <row r="22" spans="3:7" ht="15.95" customHeight="1" x14ac:dyDescent="0.25">
      <c r="C22" s="8"/>
      <c r="D22" s="5"/>
      <c r="F22" s="8"/>
      <c r="G22" s="5"/>
    </row>
    <row r="23" spans="3:7" ht="15.95" customHeight="1" x14ac:dyDescent="0.25">
      <c r="C23" s="8"/>
      <c r="D23" s="5"/>
      <c r="F23" s="8"/>
      <c r="G23" s="5"/>
    </row>
    <row r="24" spans="3:7" ht="15.95" customHeight="1" x14ac:dyDescent="0.25">
      <c r="C24" s="8"/>
      <c r="D24" s="5"/>
      <c r="F24" s="8"/>
      <c r="G24" s="5"/>
    </row>
    <row r="25" spans="3:7" ht="15.95" customHeight="1" x14ac:dyDescent="0.25">
      <c r="C25" s="8"/>
      <c r="D25" s="5"/>
      <c r="F25" s="8"/>
      <c r="G25" s="5"/>
    </row>
    <row r="26" spans="3:7" ht="15.95" customHeight="1" x14ac:dyDescent="0.25">
      <c r="C26" s="8"/>
      <c r="D26" s="5"/>
      <c r="F26" s="8"/>
      <c r="G26" s="5"/>
    </row>
    <row r="27" spans="3:7" ht="15.95" customHeight="1" x14ac:dyDescent="0.25">
      <c r="C27" s="8"/>
      <c r="D27" s="5"/>
      <c r="F27" s="8"/>
      <c r="G27" s="5"/>
    </row>
    <row r="28" spans="3:7" ht="15.95" customHeight="1" x14ac:dyDescent="0.25">
      <c r="C28" s="8"/>
      <c r="D28" s="5"/>
      <c r="F28" s="8"/>
      <c r="G28" s="5"/>
    </row>
    <row r="29" spans="3:7" ht="15.95" customHeight="1" x14ac:dyDescent="0.25">
      <c r="C29" s="8"/>
      <c r="D29" s="5"/>
    </row>
    <row r="30" spans="3:7" ht="15.95" customHeight="1" x14ac:dyDescent="0.25">
      <c r="C30" s="8"/>
      <c r="D30" s="5"/>
    </row>
    <row r="31" spans="3:7" ht="15.95" customHeight="1" x14ac:dyDescent="0.25">
      <c r="C31" s="8"/>
      <c r="D31" s="5"/>
    </row>
    <row r="32" spans="3:7" ht="15.95" customHeight="1" x14ac:dyDescent="0.25">
      <c r="C32" s="8"/>
      <c r="D32" s="5"/>
    </row>
    <row r="33" spans="3:4" ht="15.95" customHeight="1" x14ac:dyDescent="0.25">
      <c r="C33" s="8"/>
      <c r="D33" s="5"/>
    </row>
    <row r="34" spans="3:4" ht="15.95" customHeight="1" x14ac:dyDescent="0.25">
      <c r="C34" s="8"/>
      <c r="D34" s="5"/>
    </row>
    <row r="35" spans="3:4" ht="15.95" customHeight="1" x14ac:dyDescent="0.25">
      <c r="C35" s="8"/>
      <c r="D35" s="5"/>
    </row>
    <row r="36" spans="3:4" ht="15.95" customHeight="1" x14ac:dyDescent="0.25">
      <c r="C36" s="8"/>
      <c r="D36" s="5"/>
    </row>
    <row r="37" spans="3:4" ht="15.95" customHeight="1" x14ac:dyDescent="0.25">
      <c r="C37" s="8"/>
      <c r="D37" s="5"/>
    </row>
    <row r="38" spans="3:4" ht="15.95" customHeight="1" x14ac:dyDescent="0.25">
      <c r="C38" s="8"/>
      <c r="D38" s="5"/>
    </row>
    <row r="39" spans="3:4" ht="15.95" customHeight="1" x14ac:dyDescent="0.25">
      <c r="C39" s="8"/>
      <c r="D39" s="5"/>
    </row>
    <row r="40" spans="3:4" ht="15.95" customHeight="1" x14ac:dyDescent="0.25">
      <c r="C40" s="8"/>
      <c r="D40" s="5"/>
    </row>
    <row r="41" spans="3:4" ht="15.95" customHeight="1" x14ac:dyDescent="0.25">
      <c r="C41" s="8"/>
      <c r="D41" s="5"/>
    </row>
    <row r="42" spans="3:4" ht="15.95" customHeight="1" x14ac:dyDescent="0.25">
      <c r="C42" s="8"/>
      <c r="D42" s="5"/>
    </row>
    <row r="43" spans="3:4" ht="15.95" customHeight="1" x14ac:dyDescent="0.25">
      <c r="C43" s="8"/>
      <c r="D43" s="5"/>
    </row>
    <row r="44" spans="3:4" ht="15.95" customHeight="1" x14ac:dyDescent="0.25">
      <c r="C44" s="8"/>
      <c r="D44" s="5"/>
    </row>
    <row r="45" spans="3:4" ht="15.95" customHeight="1" x14ac:dyDescent="0.25">
      <c r="C45" s="8"/>
      <c r="D45" s="5"/>
    </row>
    <row r="46" spans="3:4" ht="15.95" customHeight="1" x14ac:dyDescent="0.25">
      <c r="C46" s="8"/>
      <c r="D46" s="5"/>
    </row>
    <row r="47" spans="3:4" ht="15.95" customHeight="1" x14ac:dyDescent="0.25">
      <c r="C47" s="8"/>
      <c r="D47" s="5"/>
    </row>
    <row r="48" spans="3:4" ht="15.95" customHeight="1" x14ac:dyDescent="0.25">
      <c r="C48" s="8"/>
      <c r="D48" s="5"/>
    </row>
    <row r="49" spans="3:4" ht="15.95" customHeight="1" x14ac:dyDescent="0.25">
      <c r="C49" s="8"/>
      <c r="D49" s="5"/>
    </row>
  </sheetData>
  <mergeCells count="4">
    <mergeCell ref="C10:E10"/>
    <mergeCell ref="C11:E11"/>
    <mergeCell ref="B2:F2"/>
    <mergeCell ref="G2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3408E-D98D-43A2-AA86-3168FCD4E655}">
  <dimension ref="B1:AK51"/>
  <sheetViews>
    <sheetView showGridLines="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D29" sqref="D29"/>
    </sheetView>
  </sheetViews>
  <sheetFormatPr baseColWidth="10" defaultColWidth="11.42578125" defaultRowHeight="15" x14ac:dyDescent="0.25"/>
  <cols>
    <col min="1" max="1" width="6.5703125" customWidth="1"/>
    <col min="2" max="2" width="6.28515625" customWidth="1"/>
    <col min="3" max="3" width="37.42578125" customWidth="1"/>
    <col min="4" max="4" width="8.85546875" customWidth="1"/>
    <col min="5" max="5" width="14.140625" bestFit="1" customWidth="1"/>
    <col min="6" max="6" width="8.140625" customWidth="1"/>
    <col min="7" max="7" width="2" style="109" customWidth="1"/>
    <col min="8" max="8" width="8.85546875" customWidth="1"/>
    <col min="9" max="9" width="29.140625" bestFit="1" customWidth="1"/>
    <col min="10" max="10" width="15.140625" customWidth="1"/>
    <col min="11" max="11" width="16.28515625" customWidth="1"/>
    <col min="12" max="12" width="12.7109375" bestFit="1" customWidth="1"/>
    <col min="14" max="14" width="12.5703125" customWidth="1"/>
    <col min="15" max="15" width="13.42578125" customWidth="1"/>
    <col min="17" max="17" width="21.42578125" customWidth="1"/>
    <col min="18" max="19" width="13.5703125" customWidth="1"/>
    <col min="20" max="20" width="9.28515625" customWidth="1"/>
    <col min="21" max="21" width="26.85546875" customWidth="1"/>
    <col min="22" max="22" width="24.42578125" customWidth="1"/>
    <col min="23" max="23" width="13.7109375" customWidth="1"/>
    <col min="24" max="24" width="19.85546875" customWidth="1"/>
    <col min="26" max="26" width="16.7109375" bestFit="1" customWidth="1"/>
  </cols>
  <sheetData>
    <row r="1" spans="3:37" x14ac:dyDescent="0.25">
      <c r="M1" s="83"/>
      <c r="N1" s="83"/>
      <c r="O1" s="83"/>
      <c r="P1" s="83"/>
      <c r="Q1" s="83"/>
      <c r="R1" s="83"/>
      <c r="S1" s="83"/>
      <c r="T1" s="83"/>
      <c r="U1" s="83"/>
    </row>
    <row r="2" spans="3:37" ht="15.75" thickBot="1" x14ac:dyDescent="0.3"/>
    <row r="3" spans="3:37" x14ac:dyDescent="0.25">
      <c r="C3" s="189" t="s">
        <v>19</v>
      </c>
      <c r="D3" s="190"/>
      <c r="E3" s="191"/>
    </row>
    <row r="4" spans="3:37" ht="21.75" thickBot="1" x14ac:dyDescent="0.4">
      <c r="C4" s="92" t="s">
        <v>81</v>
      </c>
      <c r="D4" s="93" t="s">
        <v>82</v>
      </c>
      <c r="E4" s="94" t="s">
        <v>83</v>
      </c>
      <c r="H4" s="19" t="s">
        <v>84</v>
      </c>
      <c r="I4" s="19"/>
      <c r="J4" s="20"/>
    </row>
    <row r="5" spans="3:37" ht="21" x14ac:dyDescent="0.35">
      <c r="C5" s="97" t="s">
        <v>85</v>
      </c>
      <c r="D5" s="98">
        <v>0.08</v>
      </c>
      <c r="E5" s="99" t="s">
        <v>86</v>
      </c>
      <c r="H5" s="19" t="s">
        <v>87</v>
      </c>
      <c r="I5" s="19"/>
      <c r="J5" s="21"/>
      <c r="Q5" s="5"/>
    </row>
    <row r="6" spans="3:37" x14ac:dyDescent="0.25">
      <c r="C6" s="100" t="s">
        <v>88</v>
      </c>
      <c r="D6" s="101">
        <v>0.85</v>
      </c>
      <c r="E6" s="102" t="s">
        <v>86</v>
      </c>
    </row>
    <row r="7" spans="3:37" x14ac:dyDescent="0.25">
      <c r="C7" s="100" t="s">
        <v>89</v>
      </c>
      <c r="D7" s="110">
        <f>IF(C3=Capacidad!B4,Capacidad!D4,IF(C3=Capacidad!B5,Capacidad!D5,IF(C3=Capacidad!B6,Capacidad!D6,IF(C3=Capacidad!B7,Capacidad!D7,IF(C3=Capacidad!B8,Capacidad!D8)))))</f>
        <v>3100</v>
      </c>
      <c r="E7" s="102" t="s">
        <v>90</v>
      </c>
      <c r="J7" s="23" t="s">
        <v>91</v>
      </c>
      <c r="K7" s="23" t="s">
        <v>92</v>
      </c>
      <c r="L7" s="24">
        <v>0</v>
      </c>
      <c r="M7" s="24">
        <v>1</v>
      </c>
      <c r="N7" s="24">
        <v>2</v>
      </c>
      <c r="O7" s="24">
        <v>3</v>
      </c>
      <c r="P7" s="24">
        <v>4</v>
      </c>
      <c r="Q7" s="24">
        <v>5</v>
      </c>
      <c r="R7" s="24">
        <v>6</v>
      </c>
      <c r="S7" s="24">
        <v>7</v>
      </c>
      <c r="T7" s="24">
        <v>8</v>
      </c>
      <c r="U7" s="24">
        <v>9</v>
      </c>
      <c r="V7" s="24">
        <v>10</v>
      </c>
      <c r="W7" s="24">
        <v>11</v>
      </c>
      <c r="X7" s="24">
        <v>12</v>
      </c>
      <c r="Y7" s="24">
        <v>13</v>
      </c>
      <c r="Z7" s="24">
        <v>14</v>
      </c>
      <c r="AA7" s="24">
        <v>15</v>
      </c>
      <c r="AB7" s="24">
        <v>16</v>
      </c>
      <c r="AC7" s="24">
        <v>17</v>
      </c>
      <c r="AD7" s="24">
        <v>18</v>
      </c>
      <c r="AE7" s="24">
        <v>19</v>
      </c>
      <c r="AF7" s="24">
        <v>20</v>
      </c>
      <c r="AG7" s="24">
        <v>21</v>
      </c>
      <c r="AH7" s="24">
        <v>22</v>
      </c>
      <c r="AI7" s="24">
        <v>23</v>
      </c>
      <c r="AJ7" s="24">
        <v>24</v>
      </c>
      <c r="AK7" s="24">
        <v>25</v>
      </c>
    </row>
    <row r="8" spans="3:37" x14ac:dyDescent="0.25">
      <c r="C8" s="100" t="s">
        <v>41</v>
      </c>
      <c r="D8" s="126">
        <v>7.2999999999999995E-2</v>
      </c>
      <c r="E8" s="102" t="s">
        <v>238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3:37" x14ac:dyDescent="0.25">
      <c r="C9" s="100" t="s">
        <v>93</v>
      </c>
      <c r="D9" s="107">
        <v>1</v>
      </c>
      <c r="E9" s="102" t="s">
        <v>94</v>
      </c>
      <c r="I9" s="22" t="s">
        <v>95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</row>
    <row r="10" spans="3:37" x14ac:dyDescent="0.25">
      <c r="C10" s="100" t="s">
        <v>96</v>
      </c>
      <c r="D10" s="110">
        <f>+IF(C3='DATOS '!J3,'DATOS '!O3,IF(C3='DATOS '!J4,'DATOS '!O4,IF(C3='DATOS '!J5,'DATOS '!O5,IF(C3='DATOS '!J6,'DATOS '!O6,IF(C3='DATOS '!J7,'DATOS '!O7)))))</f>
        <v>2625.224677419355</v>
      </c>
      <c r="E10" s="102" t="s">
        <v>97</v>
      </c>
      <c r="I10" s="15" t="s">
        <v>3</v>
      </c>
      <c r="J10" s="26">
        <f>SUM(L10:AK10)</f>
        <v>14472209.809999999</v>
      </c>
      <c r="K10" s="12"/>
      <c r="L10" s="26">
        <f>+(D10*D7)*(1+D13)</f>
        <v>11705222.999999998</v>
      </c>
      <c r="M10" s="26">
        <f>+IF(MOD(M7,$D$17)=0,($D$12*$D$10*$D$7),0)</f>
        <v>0</v>
      </c>
      <c r="N10" s="26">
        <f t="shared" ref="N10:AK10" si="0">+IF(MOD(N7,$D$17)=0,($D$12*$D$10*$D$7),0)</f>
        <v>0</v>
      </c>
      <c r="O10" s="26">
        <f t="shared" si="0"/>
        <v>0</v>
      </c>
      <c r="P10" s="26">
        <f t="shared" si="0"/>
        <v>0</v>
      </c>
      <c r="Q10" s="26">
        <f t="shared" si="0"/>
        <v>0</v>
      </c>
      <c r="R10" s="26">
        <f t="shared" si="0"/>
        <v>0</v>
      </c>
      <c r="S10" s="26">
        <f t="shared" si="0"/>
        <v>0</v>
      </c>
      <c r="T10" s="26">
        <f t="shared" si="0"/>
        <v>0</v>
      </c>
      <c r="U10" s="26">
        <f t="shared" si="0"/>
        <v>0</v>
      </c>
      <c r="V10" s="26">
        <f>+IF(MOD(V7,$D$17)=0,($D$12*$D$10*$D$7),0)</f>
        <v>1383493.4050000003</v>
      </c>
      <c r="W10" s="26">
        <f t="shared" si="0"/>
        <v>0</v>
      </c>
      <c r="X10" s="26">
        <f t="shared" si="0"/>
        <v>0</v>
      </c>
      <c r="Y10" s="26">
        <f t="shared" si="0"/>
        <v>0</v>
      </c>
      <c r="Z10" s="26">
        <f t="shared" si="0"/>
        <v>0</v>
      </c>
      <c r="AA10" s="26">
        <f t="shared" si="0"/>
        <v>0</v>
      </c>
      <c r="AB10" s="26">
        <f t="shared" si="0"/>
        <v>0</v>
      </c>
      <c r="AC10" s="26">
        <f t="shared" si="0"/>
        <v>0</v>
      </c>
      <c r="AD10" s="26">
        <f t="shared" si="0"/>
        <v>0</v>
      </c>
      <c r="AE10" s="26">
        <f t="shared" si="0"/>
        <v>0</v>
      </c>
      <c r="AF10" s="26">
        <f t="shared" si="0"/>
        <v>1383493.4050000003</v>
      </c>
      <c r="AG10" s="26">
        <f t="shared" si="0"/>
        <v>0</v>
      </c>
      <c r="AH10" s="26">
        <f t="shared" si="0"/>
        <v>0</v>
      </c>
      <c r="AI10" s="26">
        <f t="shared" si="0"/>
        <v>0</v>
      </c>
      <c r="AJ10" s="26">
        <f t="shared" si="0"/>
        <v>0</v>
      </c>
      <c r="AK10" s="26">
        <f t="shared" si="0"/>
        <v>0</v>
      </c>
    </row>
    <row r="11" spans="3:37" x14ac:dyDescent="0.25">
      <c r="C11" s="100" t="s">
        <v>98</v>
      </c>
      <c r="D11" s="108">
        <v>0.12</v>
      </c>
      <c r="E11" s="102" t="s">
        <v>99</v>
      </c>
      <c r="I11" s="15" t="s">
        <v>100</v>
      </c>
      <c r="J11" s="26">
        <f>SUM(L11:AK11)</f>
        <v>24414589.499999985</v>
      </c>
      <c r="K11" s="12"/>
      <c r="L11" s="26"/>
      <c r="M11" s="26">
        <f t="shared" ref="M11:AK11" si="1">+$D$11*$D$10*$D$7</f>
        <v>976583.58</v>
      </c>
      <c r="N11" s="26">
        <f t="shared" si="1"/>
        <v>976583.58</v>
      </c>
      <c r="O11" s="26">
        <f t="shared" si="1"/>
        <v>976583.58</v>
      </c>
      <c r="P11" s="26">
        <f t="shared" si="1"/>
        <v>976583.58</v>
      </c>
      <c r="Q11" s="26">
        <f t="shared" si="1"/>
        <v>976583.58</v>
      </c>
      <c r="R11" s="26">
        <f t="shared" si="1"/>
        <v>976583.58</v>
      </c>
      <c r="S11" s="26">
        <f t="shared" si="1"/>
        <v>976583.58</v>
      </c>
      <c r="T11" s="26">
        <f t="shared" si="1"/>
        <v>976583.58</v>
      </c>
      <c r="U11" s="26">
        <f t="shared" si="1"/>
        <v>976583.58</v>
      </c>
      <c r="V11" s="26">
        <f t="shared" si="1"/>
        <v>976583.58</v>
      </c>
      <c r="W11" s="26">
        <f t="shared" si="1"/>
        <v>976583.58</v>
      </c>
      <c r="X11" s="26">
        <f t="shared" si="1"/>
        <v>976583.58</v>
      </c>
      <c r="Y11" s="26">
        <f t="shared" si="1"/>
        <v>976583.58</v>
      </c>
      <c r="Z11" s="26">
        <f t="shared" si="1"/>
        <v>976583.58</v>
      </c>
      <c r="AA11" s="26">
        <f t="shared" si="1"/>
        <v>976583.58</v>
      </c>
      <c r="AB11" s="26">
        <f t="shared" si="1"/>
        <v>976583.58</v>
      </c>
      <c r="AC11" s="26">
        <f t="shared" si="1"/>
        <v>976583.58</v>
      </c>
      <c r="AD11" s="26">
        <f t="shared" si="1"/>
        <v>976583.58</v>
      </c>
      <c r="AE11" s="26">
        <f t="shared" si="1"/>
        <v>976583.58</v>
      </c>
      <c r="AF11" s="26">
        <f t="shared" si="1"/>
        <v>976583.58</v>
      </c>
      <c r="AG11" s="26">
        <f t="shared" si="1"/>
        <v>976583.58</v>
      </c>
      <c r="AH11" s="26">
        <f t="shared" si="1"/>
        <v>976583.58</v>
      </c>
      <c r="AI11" s="26">
        <f t="shared" si="1"/>
        <v>976583.58</v>
      </c>
      <c r="AJ11" s="26">
        <f t="shared" si="1"/>
        <v>976583.58</v>
      </c>
      <c r="AK11" s="26">
        <f t="shared" si="1"/>
        <v>976583.58</v>
      </c>
    </row>
    <row r="12" spans="3:37" x14ac:dyDescent="0.25">
      <c r="C12" s="100" t="s">
        <v>23</v>
      </c>
      <c r="D12" s="108">
        <v>0.17</v>
      </c>
      <c r="E12" s="102" t="s">
        <v>101</v>
      </c>
      <c r="I12" s="15" t="s">
        <v>102</v>
      </c>
      <c r="J12" s="26">
        <f>SUM(L12:AK12)</f>
        <v>42125744.999999993</v>
      </c>
      <c r="K12" s="12"/>
      <c r="L12" s="26"/>
      <c r="M12" s="26">
        <f>+M16*$D$14*$D$8</f>
        <v>1685029.7999999998</v>
      </c>
      <c r="N12" s="26">
        <f t="shared" ref="N12:AK12" si="2">+N16*$D$14*$D$8</f>
        <v>1685029.7999999998</v>
      </c>
      <c r="O12" s="26">
        <f t="shared" si="2"/>
        <v>1685029.7999999998</v>
      </c>
      <c r="P12" s="26">
        <f t="shared" si="2"/>
        <v>1685029.7999999998</v>
      </c>
      <c r="Q12" s="26">
        <f t="shared" si="2"/>
        <v>1685029.7999999998</v>
      </c>
      <c r="R12" s="26">
        <f t="shared" si="2"/>
        <v>1685029.7999999998</v>
      </c>
      <c r="S12" s="26">
        <f t="shared" si="2"/>
        <v>1685029.7999999998</v>
      </c>
      <c r="T12" s="26">
        <f t="shared" si="2"/>
        <v>1685029.7999999998</v>
      </c>
      <c r="U12" s="26">
        <f t="shared" si="2"/>
        <v>1685029.7999999998</v>
      </c>
      <c r="V12" s="26">
        <f t="shared" si="2"/>
        <v>1685029.7999999998</v>
      </c>
      <c r="W12" s="26">
        <f t="shared" si="2"/>
        <v>1685029.7999999998</v>
      </c>
      <c r="X12" s="26">
        <f t="shared" si="2"/>
        <v>1685029.7999999998</v>
      </c>
      <c r="Y12" s="26">
        <f t="shared" si="2"/>
        <v>1685029.7999999998</v>
      </c>
      <c r="Z12" s="26">
        <f t="shared" si="2"/>
        <v>1685029.7999999998</v>
      </c>
      <c r="AA12" s="26">
        <f t="shared" si="2"/>
        <v>1685029.7999999998</v>
      </c>
      <c r="AB12" s="26">
        <f t="shared" si="2"/>
        <v>1685029.7999999998</v>
      </c>
      <c r="AC12" s="26">
        <f t="shared" si="2"/>
        <v>1685029.7999999998</v>
      </c>
      <c r="AD12" s="26">
        <f t="shared" si="2"/>
        <v>1685029.7999999998</v>
      </c>
      <c r="AE12" s="26">
        <f t="shared" si="2"/>
        <v>1685029.7999999998</v>
      </c>
      <c r="AF12" s="26">
        <f t="shared" si="2"/>
        <v>1685029.7999999998</v>
      </c>
      <c r="AG12" s="26">
        <f t="shared" si="2"/>
        <v>1685029.7999999998</v>
      </c>
      <c r="AH12" s="26">
        <f t="shared" si="2"/>
        <v>1685029.7999999998</v>
      </c>
      <c r="AI12" s="26">
        <f t="shared" si="2"/>
        <v>1685029.7999999998</v>
      </c>
      <c r="AJ12" s="26">
        <f t="shared" si="2"/>
        <v>1685029.7999999998</v>
      </c>
      <c r="AK12" s="26">
        <f t="shared" si="2"/>
        <v>1685029.7999999998</v>
      </c>
    </row>
    <row r="13" spans="3:37" x14ac:dyDescent="0.25">
      <c r="C13" s="100" t="s">
        <v>103</v>
      </c>
      <c r="D13" s="125">
        <f>IF(C3='DATOS '!J3,'DATOS '!Q3,IF(C3='DATOS '!J4,'DATOS '!Q4,IF(C3='DATOS '!J5,'DATOS '!Q5,IF(C3='DATOS '!J6,'DATOS '!Q6,IF(C3='DATOS '!J7,'DATOS '!Q7)))))</f>
        <v>0.43830675506544969</v>
      </c>
      <c r="E13" s="102" t="s">
        <v>101</v>
      </c>
      <c r="I13" s="15" t="s">
        <v>104</v>
      </c>
      <c r="J13" s="26">
        <f>SUM(L13:AK13)</f>
        <v>224496.89999999994</v>
      </c>
      <c r="K13" s="12"/>
      <c r="L13" s="26"/>
      <c r="M13" s="26">
        <f>+$D$9*$D$15*M16</f>
        <v>8979.8760000000002</v>
      </c>
      <c r="N13" s="26">
        <f t="shared" ref="N13:AK13" si="3">+$D$9*$D$15*N16</f>
        <v>8979.8760000000002</v>
      </c>
      <c r="O13" s="26">
        <f t="shared" si="3"/>
        <v>8979.8760000000002</v>
      </c>
      <c r="P13" s="26">
        <f t="shared" si="3"/>
        <v>8979.8760000000002</v>
      </c>
      <c r="Q13" s="26">
        <f t="shared" si="3"/>
        <v>8979.8760000000002</v>
      </c>
      <c r="R13" s="26">
        <f t="shared" si="3"/>
        <v>8979.8760000000002</v>
      </c>
      <c r="S13" s="26">
        <f t="shared" si="3"/>
        <v>8979.8760000000002</v>
      </c>
      <c r="T13" s="26">
        <f t="shared" si="3"/>
        <v>8979.8760000000002</v>
      </c>
      <c r="U13" s="26">
        <f t="shared" si="3"/>
        <v>8979.8760000000002</v>
      </c>
      <c r="V13" s="26">
        <f t="shared" si="3"/>
        <v>8979.8760000000002</v>
      </c>
      <c r="W13" s="26">
        <f t="shared" si="3"/>
        <v>8979.8760000000002</v>
      </c>
      <c r="X13" s="26">
        <f t="shared" si="3"/>
        <v>8979.8760000000002</v>
      </c>
      <c r="Y13" s="26">
        <f t="shared" si="3"/>
        <v>8979.8760000000002</v>
      </c>
      <c r="Z13" s="26">
        <f t="shared" si="3"/>
        <v>8979.8760000000002</v>
      </c>
      <c r="AA13" s="26">
        <f t="shared" si="3"/>
        <v>8979.8760000000002</v>
      </c>
      <c r="AB13" s="26">
        <f t="shared" si="3"/>
        <v>8979.8760000000002</v>
      </c>
      <c r="AC13" s="26">
        <f t="shared" si="3"/>
        <v>8979.8760000000002</v>
      </c>
      <c r="AD13" s="26">
        <f t="shared" si="3"/>
        <v>8979.8760000000002</v>
      </c>
      <c r="AE13" s="26">
        <f t="shared" si="3"/>
        <v>8979.8760000000002</v>
      </c>
      <c r="AF13" s="26">
        <f t="shared" si="3"/>
        <v>8979.8760000000002</v>
      </c>
      <c r="AG13" s="26">
        <f t="shared" si="3"/>
        <v>8979.8760000000002</v>
      </c>
      <c r="AH13" s="26">
        <f t="shared" si="3"/>
        <v>8979.8760000000002</v>
      </c>
      <c r="AI13" s="26">
        <f t="shared" si="3"/>
        <v>8979.8760000000002</v>
      </c>
      <c r="AJ13" s="26">
        <f t="shared" si="3"/>
        <v>8979.8760000000002</v>
      </c>
      <c r="AK13" s="26">
        <f t="shared" si="3"/>
        <v>8979.8760000000002</v>
      </c>
    </row>
    <row r="14" spans="3:37" x14ac:dyDescent="0.25">
      <c r="C14" s="100" t="s">
        <v>54</v>
      </c>
      <c r="D14" s="111">
        <f>IF(C3=Capacidad!B4,Capacidad!I4,IF(C3=Capacidad!B5,Capacidad!I5,IF(C3=Capacidad!B6,Capacidad!I6,IF(C3=Capacidad!B7,Capacidad!I7,IF(C3=Capacidad!B8,Capacidad!I8)))))</f>
        <v>57.674418604651166</v>
      </c>
      <c r="E14" s="102" t="s">
        <v>239</v>
      </c>
      <c r="I14" s="15" t="s">
        <v>105</v>
      </c>
      <c r="J14" s="25">
        <f>SUM(J10:J13)</f>
        <v>81237041.209999979</v>
      </c>
      <c r="K14" s="12"/>
      <c r="L14" s="25">
        <f>SUM(L10:L13)</f>
        <v>11705222.999999998</v>
      </c>
      <c r="M14" s="25">
        <f>SUM(M11:M13)</f>
        <v>2670593.2560000001</v>
      </c>
      <c r="N14" s="25">
        <f t="shared" ref="N14:AK14" si="4">SUM(N11:N13)</f>
        <v>2670593.2560000001</v>
      </c>
      <c r="O14" s="25">
        <f t="shared" si="4"/>
        <v>2670593.2560000001</v>
      </c>
      <c r="P14" s="25">
        <f t="shared" si="4"/>
        <v>2670593.2560000001</v>
      </c>
      <c r="Q14" s="25">
        <f t="shared" si="4"/>
        <v>2670593.2560000001</v>
      </c>
      <c r="R14" s="25">
        <f t="shared" si="4"/>
        <v>2670593.2560000001</v>
      </c>
      <c r="S14" s="25">
        <f t="shared" si="4"/>
        <v>2670593.2560000001</v>
      </c>
      <c r="T14" s="25">
        <f t="shared" si="4"/>
        <v>2670593.2560000001</v>
      </c>
      <c r="U14" s="25">
        <f t="shared" si="4"/>
        <v>2670593.2560000001</v>
      </c>
      <c r="V14" s="25">
        <f t="shared" si="4"/>
        <v>2670593.2560000001</v>
      </c>
      <c r="W14" s="25">
        <f t="shared" si="4"/>
        <v>2670593.2560000001</v>
      </c>
      <c r="X14" s="25">
        <f t="shared" si="4"/>
        <v>2670593.2560000001</v>
      </c>
      <c r="Y14" s="25">
        <f t="shared" si="4"/>
        <v>2670593.2560000001</v>
      </c>
      <c r="Z14" s="25">
        <f t="shared" si="4"/>
        <v>2670593.2560000001</v>
      </c>
      <c r="AA14" s="25">
        <f t="shared" si="4"/>
        <v>2670593.2560000001</v>
      </c>
      <c r="AB14" s="25">
        <f t="shared" si="4"/>
        <v>2670593.2560000001</v>
      </c>
      <c r="AC14" s="25">
        <f t="shared" si="4"/>
        <v>2670593.2560000001</v>
      </c>
      <c r="AD14" s="25">
        <f t="shared" si="4"/>
        <v>2670593.2560000001</v>
      </c>
      <c r="AE14" s="25">
        <f t="shared" si="4"/>
        <v>2670593.2560000001</v>
      </c>
      <c r="AF14" s="25">
        <f t="shared" si="4"/>
        <v>2670593.2560000001</v>
      </c>
      <c r="AG14" s="25">
        <f t="shared" si="4"/>
        <v>2670593.2560000001</v>
      </c>
      <c r="AH14" s="25">
        <f t="shared" si="4"/>
        <v>2670593.2560000001</v>
      </c>
      <c r="AI14" s="25">
        <f t="shared" si="4"/>
        <v>2670593.2560000001</v>
      </c>
      <c r="AJ14" s="25">
        <f t="shared" si="4"/>
        <v>2670593.2560000001</v>
      </c>
      <c r="AK14" s="25">
        <f t="shared" si="4"/>
        <v>2670593.2560000001</v>
      </c>
    </row>
    <row r="15" spans="3:37" x14ac:dyDescent="0.25">
      <c r="C15" s="100" t="s">
        <v>106</v>
      </c>
      <c r="D15" s="112">
        <f>IF(C3=Capacidad!B4,Capacidad!O4,IF(C3=Capacidad!B5,Capacidad!O5,IF(C3=Capacidad!B6,Capacidad!O6,IF(C3=Capacidad!B7,Capacidad!O7,IF(C3=Capacidad!B8,Capacidad!O8)))))</f>
        <v>2.2437209302325581E-2</v>
      </c>
      <c r="E15" s="102" t="s">
        <v>107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</row>
    <row r="16" spans="3:37" x14ac:dyDescent="0.25">
      <c r="C16" s="100" t="s">
        <v>108</v>
      </c>
      <c r="D16" s="106">
        <v>80000</v>
      </c>
      <c r="E16" s="102" t="s">
        <v>109</v>
      </c>
      <c r="I16" s="15" t="s">
        <v>110</v>
      </c>
      <c r="J16" s="12">
        <f>SUM(L16:AK16)</f>
        <v>10005562.5</v>
      </c>
      <c r="K16" s="12"/>
      <c r="L16" s="12">
        <v>0</v>
      </c>
      <c r="M16" s="12">
        <f>(D7/$D$14)*($D$6*8760)</f>
        <v>400222.5</v>
      </c>
      <c r="N16" s="12">
        <f t="shared" ref="N16:AK16" si="5">+M16</f>
        <v>400222.5</v>
      </c>
      <c r="O16" s="12">
        <f t="shared" si="5"/>
        <v>400222.5</v>
      </c>
      <c r="P16" s="12">
        <f t="shared" si="5"/>
        <v>400222.5</v>
      </c>
      <c r="Q16" s="12">
        <f t="shared" si="5"/>
        <v>400222.5</v>
      </c>
      <c r="R16" s="12">
        <f t="shared" si="5"/>
        <v>400222.5</v>
      </c>
      <c r="S16" s="12">
        <f t="shared" si="5"/>
        <v>400222.5</v>
      </c>
      <c r="T16" s="12">
        <f t="shared" si="5"/>
        <v>400222.5</v>
      </c>
      <c r="U16" s="12">
        <f t="shared" si="5"/>
        <v>400222.5</v>
      </c>
      <c r="V16" s="12">
        <f t="shared" si="5"/>
        <v>400222.5</v>
      </c>
      <c r="W16" s="12">
        <f t="shared" si="5"/>
        <v>400222.5</v>
      </c>
      <c r="X16" s="12">
        <f t="shared" si="5"/>
        <v>400222.5</v>
      </c>
      <c r="Y16" s="12">
        <f t="shared" si="5"/>
        <v>400222.5</v>
      </c>
      <c r="Z16" s="12">
        <f t="shared" si="5"/>
        <v>400222.5</v>
      </c>
      <c r="AA16" s="12">
        <f t="shared" si="5"/>
        <v>400222.5</v>
      </c>
      <c r="AB16" s="12">
        <f t="shared" si="5"/>
        <v>400222.5</v>
      </c>
      <c r="AC16" s="12">
        <f t="shared" si="5"/>
        <v>400222.5</v>
      </c>
      <c r="AD16" s="12">
        <f t="shared" si="5"/>
        <v>400222.5</v>
      </c>
      <c r="AE16" s="12">
        <f t="shared" si="5"/>
        <v>400222.5</v>
      </c>
      <c r="AF16" s="12">
        <f t="shared" si="5"/>
        <v>400222.5</v>
      </c>
      <c r="AG16" s="12">
        <f t="shared" si="5"/>
        <v>400222.5</v>
      </c>
      <c r="AH16" s="12">
        <f t="shared" si="5"/>
        <v>400222.5</v>
      </c>
      <c r="AI16" s="12">
        <f t="shared" si="5"/>
        <v>400222.5</v>
      </c>
      <c r="AJ16" s="12">
        <f t="shared" si="5"/>
        <v>400222.5</v>
      </c>
      <c r="AK16" s="12">
        <f t="shared" si="5"/>
        <v>400222.5</v>
      </c>
    </row>
    <row r="17" spans="2:37" ht="15.75" thickBot="1" x14ac:dyDescent="0.3">
      <c r="C17" s="103" t="s">
        <v>108</v>
      </c>
      <c r="D17" s="104">
        <f>+ROUNDDOWN($D$16/(D6*8760),0)</f>
        <v>10</v>
      </c>
      <c r="E17" s="105" t="s">
        <v>111</v>
      </c>
      <c r="J17" s="12"/>
      <c r="K17" s="12"/>
      <c r="L17" s="12">
        <f>+L16/365</f>
        <v>0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</row>
    <row r="18" spans="2:37" x14ac:dyDescent="0.25">
      <c r="I18" s="15" t="s">
        <v>112</v>
      </c>
      <c r="J18" s="12"/>
      <c r="K18" s="12"/>
      <c r="L18" s="17">
        <f>1/(1+$D$5)^L7</f>
        <v>1</v>
      </c>
      <c r="M18" s="17">
        <f t="shared" ref="M18:AK18" si="6">1/(1+$D$5)^M7</f>
        <v>0.92592592592592582</v>
      </c>
      <c r="N18" s="17">
        <f t="shared" si="6"/>
        <v>0.85733882030178321</v>
      </c>
      <c r="O18" s="17">
        <f t="shared" si="6"/>
        <v>0.79383224102016958</v>
      </c>
      <c r="P18" s="17">
        <f t="shared" si="6"/>
        <v>0.73502985279645328</v>
      </c>
      <c r="Q18" s="17">
        <f t="shared" si="6"/>
        <v>0.68058319703375303</v>
      </c>
      <c r="R18" s="17">
        <f t="shared" si="6"/>
        <v>0.63016962688310452</v>
      </c>
      <c r="S18" s="17">
        <f t="shared" si="6"/>
        <v>0.58349039526213387</v>
      </c>
      <c r="T18" s="17">
        <f t="shared" si="6"/>
        <v>0.54026888450197574</v>
      </c>
      <c r="U18" s="17">
        <f t="shared" si="6"/>
        <v>0.50024896713145905</v>
      </c>
      <c r="V18" s="17">
        <f t="shared" si="6"/>
        <v>0.46319348808468425</v>
      </c>
      <c r="W18" s="17">
        <f t="shared" si="6"/>
        <v>0.42888285933767062</v>
      </c>
      <c r="X18" s="17">
        <f t="shared" si="6"/>
        <v>0.39711375864599124</v>
      </c>
      <c r="Y18" s="17">
        <f t="shared" si="6"/>
        <v>0.36769792467221413</v>
      </c>
      <c r="Z18" s="17">
        <f t="shared" si="6"/>
        <v>0.34046104136316119</v>
      </c>
      <c r="AA18" s="17">
        <f t="shared" si="6"/>
        <v>0.31524170496588994</v>
      </c>
      <c r="AB18" s="17">
        <f t="shared" si="6"/>
        <v>0.29189046756100923</v>
      </c>
      <c r="AC18" s="17">
        <f t="shared" si="6"/>
        <v>0.27026895144537894</v>
      </c>
      <c r="AD18" s="17">
        <f t="shared" si="6"/>
        <v>0.25024902911609154</v>
      </c>
      <c r="AE18" s="17">
        <f t="shared" si="6"/>
        <v>0.23171206399638106</v>
      </c>
      <c r="AF18" s="17">
        <f t="shared" si="6"/>
        <v>0.21454820740405653</v>
      </c>
      <c r="AG18" s="17">
        <f t="shared" si="6"/>
        <v>0.19865574759634863</v>
      </c>
      <c r="AH18" s="17">
        <f t="shared" si="6"/>
        <v>0.18394050703365611</v>
      </c>
      <c r="AI18" s="17">
        <f t="shared" si="6"/>
        <v>0.17031528429042234</v>
      </c>
      <c r="AJ18" s="17">
        <f t="shared" si="6"/>
        <v>0.1576993373059466</v>
      </c>
      <c r="AK18" s="17">
        <f t="shared" si="6"/>
        <v>0.1460179049129135</v>
      </c>
    </row>
    <row r="19" spans="2:37" x14ac:dyDescent="0.25"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2:37" ht="15" customHeight="1" x14ac:dyDescent="0.25">
      <c r="C20" s="195" t="s">
        <v>113</v>
      </c>
      <c r="D20" s="195"/>
      <c r="E20" s="195"/>
      <c r="I20" s="22" t="s">
        <v>114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</row>
    <row r="21" spans="2:37" x14ac:dyDescent="0.25">
      <c r="C21" s="195"/>
      <c r="D21" s="195"/>
      <c r="E21" s="195"/>
      <c r="I21" s="15" t="s">
        <v>3</v>
      </c>
      <c r="J21" s="12">
        <f>SUM(L21:AK21)</f>
        <v>12642874.16600219</v>
      </c>
      <c r="K21" s="12"/>
      <c r="L21" s="28">
        <f>+L18*L10</f>
        <v>11705222.999999998</v>
      </c>
      <c r="M21" s="28">
        <f>+M10*M18</f>
        <v>0</v>
      </c>
      <c r="N21" s="28">
        <f t="shared" ref="N21:AK21" si="7">+N10*N18</f>
        <v>0</v>
      </c>
      <c r="O21" s="28">
        <f t="shared" si="7"/>
        <v>0</v>
      </c>
      <c r="P21" s="28">
        <f t="shared" si="7"/>
        <v>0</v>
      </c>
      <c r="Q21" s="28">
        <f t="shared" si="7"/>
        <v>0</v>
      </c>
      <c r="R21" s="28">
        <f t="shared" si="7"/>
        <v>0</v>
      </c>
      <c r="S21" s="28">
        <f t="shared" si="7"/>
        <v>0</v>
      </c>
      <c r="T21" s="28">
        <f t="shared" si="7"/>
        <v>0</v>
      </c>
      <c r="U21" s="28">
        <f t="shared" si="7"/>
        <v>0</v>
      </c>
      <c r="V21" s="28">
        <f t="shared" si="7"/>
        <v>640825.13600410684</v>
      </c>
      <c r="W21" s="28">
        <f t="shared" si="7"/>
        <v>0</v>
      </c>
      <c r="X21" s="28">
        <f t="shared" si="7"/>
        <v>0</v>
      </c>
      <c r="Y21" s="28">
        <f t="shared" si="7"/>
        <v>0</v>
      </c>
      <c r="Z21" s="28">
        <f t="shared" si="7"/>
        <v>0</v>
      </c>
      <c r="AA21" s="28">
        <f t="shared" si="7"/>
        <v>0</v>
      </c>
      <c r="AB21" s="28">
        <f t="shared" si="7"/>
        <v>0</v>
      </c>
      <c r="AC21" s="28">
        <f t="shared" si="7"/>
        <v>0</v>
      </c>
      <c r="AD21" s="28">
        <f t="shared" si="7"/>
        <v>0</v>
      </c>
      <c r="AE21" s="28">
        <f t="shared" si="7"/>
        <v>0</v>
      </c>
      <c r="AF21" s="28">
        <f t="shared" si="7"/>
        <v>296826.02999808441</v>
      </c>
      <c r="AG21" s="28">
        <f t="shared" si="7"/>
        <v>0</v>
      </c>
      <c r="AH21" s="28">
        <f t="shared" si="7"/>
        <v>0</v>
      </c>
      <c r="AI21" s="28">
        <f t="shared" si="7"/>
        <v>0</v>
      </c>
      <c r="AJ21" s="28">
        <f t="shared" si="7"/>
        <v>0</v>
      </c>
      <c r="AK21" s="28">
        <f t="shared" si="7"/>
        <v>0</v>
      </c>
    </row>
    <row r="22" spans="2:37" x14ac:dyDescent="0.25">
      <c r="C22" s="195"/>
      <c r="D22" s="195"/>
      <c r="E22" s="195"/>
      <c r="I22" s="15" t="s">
        <v>100</v>
      </c>
      <c r="J22" s="12">
        <f t="shared" ref="J22:J24" si="8">SUM(L22:AK22)</f>
        <v>10424811.145950586</v>
      </c>
      <c r="K22" s="12"/>
      <c r="L22" s="28"/>
      <c r="M22" s="28">
        <f>+M11*M18</f>
        <v>904244.05555555539</v>
      </c>
      <c r="N22" s="28">
        <f t="shared" ref="N22:AK22" si="9">+N11*N18</f>
        <v>837263.01440329209</v>
      </c>
      <c r="O22" s="28">
        <f t="shared" si="9"/>
        <v>775243.53185490007</v>
      </c>
      <c r="P22" s="28">
        <f t="shared" si="9"/>
        <v>717818.0850508333</v>
      </c>
      <c r="Q22" s="28">
        <f t="shared" si="9"/>
        <v>664646.37504706788</v>
      </c>
      <c r="R22" s="28">
        <f t="shared" si="9"/>
        <v>615413.31022876641</v>
      </c>
      <c r="S22" s="28">
        <f t="shared" si="9"/>
        <v>569827.1391007097</v>
      </c>
      <c r="T22" s="28">
        <f t="shared" si="9"/>
        <v>527617.72138954594</v>
      </c>
      <c r="U22" s="28">
        <f t="shared" si="9"/>
        <v>488534.92721254262</v>
      </c>
      <c r="V22" s="28">
        <f t="shared" si="9"/>
        <v>452347.15482642828</v>
      </c>
      <c r="W22" s="28">
        <f t="shared" si="9"/>
        <v>418839.95817261876</v>
      </c>
      <c r="X22" s="28">
        <f t="shared" si="9"/>
        <v>387814.77608575806</v>
      </c>
      <c r="Y22" s="28">
        <f t="shared" si="9"/>
        <v>359087.75563496118</v>
      </c>
      <c r="Z22" s="28">
        <f t="shared" si="9"/>
        <v>332488.66262496402</v>
      </c>
      <c r="AA22" s="28">
        <f t="shared" si="9"/>
        <v>307859.87280089257</v>
      </c>
      <c r="AB22" s="28">
        <f t="shared" si="9"/>
        <v>285055.43777860422</v>
      </c>
      <c r="AC22" s="28">
        <f t="shared" si="9"/>
        <v>263940.22016537434</v>
      </c>
      <c r="AD22" s="28">
        <f t="shared" si="9"/>
        <v>244389.09274571689</v>
      </c>
      <c r="AE22" s="28">
        <f t="shared" si="9"/>
        <v>226286.19698677491</v>
      </c>
      <c r="AF22" s="28">
        <f t="shared" si="9"/>
        <v>209524.25646923602</v>
      </c>
      <c r="AG22" s="28">
        <f t="shared" si="9"/>
        <v>194003.94117521853</v>
      </c>
      <c r="AH22" s="28">
        <f t="shared" si="9"/>
        <v>179633.27886594305</v>
      </c>
      <c r="AI22" s="28">
        <f t="shared" si="9"/>
        <v>166327.1100610584</v>
      </c>
      <c r="AJ22" s="28">
        <f t="shared" si="9"/>
        <v>154006.58338986887</v>
      </c>
      <c r="AK22" s="28">
        <f t="shared" si="9"/>
        <v>142598.68832395264</v>
      </c>
    </row>
    <row r="23" spans="2:37" x14ac:dyDescent="0.25">
      <c r="C23" s="195"/>
      <c r="D23" s="195"/>
      <c r="E23" s="195"/>
      <c r="I23" s="15" t="s">
        <v>102</v>
      </c>
      <c r="J23" s="12">
        <f t="shared" si="8"/>
        <v>17987315.986102168</v>
      </c>
      <c r="K23" s="12"/>
      <c r="L23" s="28"/>
      <c r="M23" s="28">
        <f>+M12*M18</f>
        <v>1560212.7777777775</v>
      </c>
      <c r="N23" s="28">
        <f t="shared" ref="N23:AK23" si="10">+N12*N18</f>
        <v>1444641.4609053496</v>
      </c>
      <c r="O23" s="28">
        <f t="shared" si="10"/>
        <v>1337630.9823197681</v>
      </c>
      <c r="P23" s="28">
        <f t="shared" si="10"/>
        <v>1238547.2058516371</v>
      </c>
      <c r="Q23" s="28">
        <f t="shared" si="10"/>
        <v>1146802.9683811453</v>
      </c>
      <c r="R23" s="28">
        <f t="shared" si="10"/>
        <v>1061854.6003529122</v>
      </c>
      <c r="S23" s="28">
        <f t="shared" si="10"/>
        <v>983198.7040304743</v>
      </c>
      <c r="T23" s="28">
        <f t="shared" si="10"/>
        <v>910369.17039858713</v>
      </c>
      <c r="U23" s="28">
        <f t="shared" si="10"/>
        <v>842934.41703572893</v>
      </c>
      <c r="V23" s="28">
        <f t="shared" si="10"/>
        <v>780494.83058863773</v>
      </c>
      <c r="W23" s="28">
        <f t="shared" si="10"/>
        <v>722680.3986931832</v>
      </c>
      <c r="X23" s="28">
        <f t="shared" si="10"/>
        <v>669148.51730850281</v>
      </c>
      <c r="Y23" s="28">
        <f t="shared" si="10"/>
        <v>619581.96047083591</v>
      </c>
      <c r="Z23" s="28">
        <f t="shared" si="10"/>
        <v>573687.0004359592</v>
      </c>
      <c r="AA23" s="28">
        <f t="shared" si="10"/>
        <v>531191.66707033245</v>
      </c>
      <c r="AB23" s="28">
        <f t="shared" si="10"/>
        <v>491844.13617623382</v>
      </c>
      <c r="AC23" s="28">
        <f t="shared" si="10"/>
        <v>455411.23720021651</v>
      </c>
      <c r="AD23" s="28">
        <f t="shared" si="10"/>
        <v>421677.07148168184</v>
      </c>
      <c r="AE23" s="28">
        <f t="shared" si="10"/>
        <v>390441.73285340914</v>
      </c>
      <c r="AF23" s="28">
        <f t="shared" si="10"/>
        <v>361520.12301241583</v>
      </c>
      <c r="AG23" s="28">
        <f t="shared" si="10"/>
        <v>334740.85464112577</v>
      </c>
      <c r="AH23" s="28">
        <f t="shared" si="10"/>
        <v>309945.23577882012</v>
      </c>
      <c r="AI23" s="28">
        <f t="shared" si="10"/>
        <v>286986.32942483347</v>
      </c>
      <c r="AJ23" s="28">
        <f t="shared" si="10"/>
        <v>265728.08280077169</v>
      </c>
      <c r="AK23" s="28">
        <f t="shared" si="10"/>
        <v>246044.52111182563</v>
      </c>
    </row>
    <row r="24" spans="2:37" x14ac:dyDescent="0.25">
      <c r="C24" s="195"/>
      <c r="D24" s="195"/>
      <c r="E24" s="195"/>
      <c r="I24" s="15" t="s">
        <v>104</v>
      </c>
      <c r="J24" s="12">
        <f t="shared" si="8"/>
        <v>95858.166501278014</v>
      </c>
      <c r="K24" s="12"/>
      <c r="L24" s="28"/>
      <c r="M24" s="28">
        <f>+M13*M18</f>
        <v>8314.6999999999989</v>
      </c>
      <c r="N24" s="28">
        <f t="shared" ref="N24:AK24" si="11">+N13*N18</f>
        <v>7698.7962962962956</v>
      </c>
      <c r="O24" s="28">
        <f t="shared" si="11"/>
        <v>7128.5150891632366</v>
      </c>
      <c r="P24" s="28">
        <f t="shared" si="11"/>
        <v>6600.4769344104034</v>
      </c>
      <c r="Q24" s="28">
        <f t="shared" si="11"/>
        <v>6111.5527170466703</v>
      </c>
      <c r="R24" s="28">
        <f t="shared" si="11"/>
        <v>5658.8451083765449</v>
      </c>
      <c r="S24" s="28">
        <f t="shared" si="11"/>
        <v>5239.6713966449497</v>
      </c>
      <c r="T24" s="28">
        <f t="shared" si="11"/>
        <v>4851.5475894860638</v>
      </c>
      <c r="U24" s="28">
        <f t="shared" si="11"/>
        <v>4492.1736939685779</v>
      </c>
      <c r="V24" s="28">
        <f t="shared" si="11"/>
        <v>4159.4200870079421</v>
      </c>
      <c r="W24" s="28">
        <f t="shared" si="11"/>
        <v>3851.3148953777245</v>
      </c>
      <c r="X24" s="28">
        <f t="shared" si="11"/>
        <v>3566.0323105349294</v>
      </c>
      <c r="Y24" s="28">
        <f t="shared" si="11"/>
        <v>3301.8817690138235</v>
      </c>
      <c r="Z24" s="28">
        <f t="shared" si="11"/>
        <v>3057.2979342720587</v>
      </c>
      <c r="AA24" s="28">
        <f t="shared" si="11"/>
        <v>2830.8314206222758</v>
      </c>
      <c r="AB24" s="28">
        <f t="shared" si="11"/>
        <v>2621.1402042798854</v>
      </c>
      <c r="AC24" s="28">
        <f t="shared" si="11"/>
        <v>2426.9816706295237</v>
      </c>
      <c r="AD24" s="28">
        <f t="shared" si="11"/>
        <v>2247.2052505828915</v>
      </c>
      <c r="AE24" s="28">
        <f t="shared" si="11"/>
        <v>2080.7456023915665</v>
      </c>
      <c r="AF24" s="28">
        <f t="shared" si="11"/>
        <v>1926.6162985107096</v>
      </c>
      <c r="AG24" s="28">
        <f t="shared" si="11"/>
        <v>1783.9039801025087</v>
      </c>
      <c r="AH24" s="28">
        <f t="shared" si="11"/>
        <v>1651.7629445393598</v>
      </c>
      <c r="AI24" s="28">
        <f t="shared" si="11"/>
        <v>1529.4101338327407</v>
      </c>
      <c r="AJ24" s="28">
        <f t="shared" si="11"/>
        <v>1416.1204942895745</v>
      </c>
      <c r="AK24" s="28">
        <f t="shared" si="11"/>
        <v>1311.222679897754</v>
      </c>
    </row>
    <row r="25" spans="2:37" x14ac:dyDescent="0.25">
      <c r="C25" s="195"/>
      <c r="D25" s="195"/>
      <c r="E25" s="195"/>
      <c r="I25" s="15" t="s">
        <v>105</v>
      </c>
      <c r="J25" s="25">
        <f>SUM(J21:J24)</f>
        <v>41150859.464556225</v>
      </c>
      <c r="K25" s="12"/>
      <c r="L25" s="29">
        <f>SUM(L21:L24)</f>
        <v>11705222.999999998</v>
      </c>
      <c r="M25" s="29">
        <f>SUM(M21:M24)</f>
        <v>2472771.5333333332</v>
      </c>
      <c r="N25" s="29">
        <f t="shared" ref="N25:AK25" si="12">SUM(N21:N24)</f>
        <v>2289603.271604938</v>
      </c>
      <c r="O25" s="29">
        <f t="shared" si="12"/>
        <v>2120003.0292638312</v>
      </c>
      <c r="P25" s="29">
        <f t="shared" si="12"/>
        <v>1962965.7678368806</v>
      </c>
      <c r="Q25" s="29">
        <f t="shared" si="12"/>
        <v>1817560.8961452597</v>
      </c>
      <c r="R25" s="29">
        <f t="shared" si="12"/>
        <v>1682926.7556900552</v>
      </c>
      <c r="S25" s="29">
        <f t="shared" si="12"/>
        <v>1558265.5145278291</v>
      </c>
      <c r="T25" s="29">
        <f t="shared" si="12"/>
        <v>1442838.439377619</v>
      </c>
      <c r="U25" s="29">
        <f t="shared" si="12"/>
        <v>1335961.5179422402</v>
      </c>
      <c r="V25" s="29">
        <f t="shared" si="12"/>
        <v>1877826.5415061808</v>
      </c>
      <c r="W25" s="29">
        <f t="shared" si="12"/>
        <v>1145371.6717611796</v>
      </c>
      <c r="X25" s="29">
        <f t="shared" si="12"/>
        <v>1060529.3257047958</v>
      </c>
      <c r="Y25" s="29">
        <f t="shared" si="12"/>
        <v>981971.59787481092</v>
      </c>
      <c r="Z25" s="29">
        <f t="shared" si="12"/>
        <v>909232.96099519532</v>
      </c>
      <c r="AA25" s="29">
        <f t="shared" si="12"/>
        <v>841882.37129184732</v>
      </c>
      <c r="AB25" s="29">
        <f t="shared" si="12"/>
        <v>779520.71415911801</v>
      </c>
      <c r="AC25" s="29">
        <f t="shared" si="12"/>
        <v>721778.43903622031</v>
      </c>
      <c r="AD25" s="29">
        <f t="shared" si="12"/>
        <v>668313.36947798159</v>
      </c>
      <c r="AE25" s="29">
        <f t="shared" si="12"/>
        <v>618808.67544257559</v>
      </c>
      <c r="AF25" s="29">
        <f t="shared" si="12"/>
        <v>869797.02577824693</v>
      </c>
      <c r="AG25" s="29">
        <f t="shared" si="12"/>
        <v>530528.69979644683</v>
      </c>
      <c r="AH25" s="29">
        <f t="shared" si="12"/>
        <v>491230.27758930257</v>
      </c>
      <c r="AI25" s="29">
        <f t="shared" si="12"/>
        <v>454842.84961972455</v>
      </c>
      <c r="AJ25" s="29">
        <f t="shared" si="12"/>
        <v>421150.78668493009</v>
      </c>
      <c r="AK25" s="29">
        <f t="shared" si="12"/>
        <v>389954.432115676</v>
      </c>
    </row>
    <row r="26" spans="2:37" x14ac:dyDescent="0.25">
      <c r="C26" t="s">
        <v>115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</row>
    <row r="27" spans="2:37" x14ac:dyDescent="0.25">
      <c r="I27" s="15" t="s">
        <v>110</v>
      </c>
      <c r="J27" s="29">
        <f>SUM(L27:AK27)</f>
        <v>4272285.6131373914</v>
      </c>
      <c r="K27" s="12"/>
      <c r="L27" s="29"/>
      <c r="M27" s="29">
        <f>+M16*M18</f>
        <v>370576.38888888882</v>
      </c>
      <c r="N27" s="29">
        <f t="shared" ref="N27:AJ27" si="13">+N16*N18</f>
        <v>343126.28600823041</v>
      </c>
      <c r="O27" s="29">
        <f t="shared" si="13"/>
        <v>317709.52408169484</v>
      </c>
      <c r="P27" s="29">
        <f t="shared" si="13"/>
        <v>294175.48526082851</v>
      </c>
      <c r="Q27" s="29">
        <f t="shared" si="13"/>
        <v>272384.70857484121</v>
      </c>
      <c r="R27" s="29">
        <f t="shared" si="13"/>
        <v>252208.06349522329</v>
      </c>
      <c r="S27" s="29">
        <f t="shared" si="13"/>
        <v>233525.98471779938</v>
      </c>
      <c r="T27" s="29">
        <f t="shared" si="13"/>
        <v>216227.76362759198</v>
      </c>
      <c r="U27" s="29">
        <f t="shared" si="13"/>
        <v>200210.89224777036</v>
      </c>
      <c r="V27" s="29">
        <f t="shared" si="13"/>
        <v>185380.45578497255</v>
      </c>
      <c r="W27" s="29">
        <f t="shared" si="13"/>
        <v>171648.57017127087</v>
      </c>
      <c r="X27" s="29">
        <f t="shared" si="13"/>
        <v>158933.86126969522</v>
      </c>
      <c r="Y27" s="29">
        <f t="shared" si="13"/>
        <v>147160.98265712522</v>
      </c>
      <c r="Z27" s="29">
        <f t="shared" si="13"/>
        <v>136260.16912696778</v>
      </c>
      <c r="AA27" s="29">
        <f t="shared" si="13"/>
        <v>126166.82326571089</v>
      </c>
      <c r="AB27" s="29">
        <f t="shared" si="13"/>
        <v>116821.13265343601</v>
      </c>
      <c r="AC27" s="29">
        <f t="shared" si="13"/>
        <v>108167.71541984817</v>
      </c>
      <c r="AD27" s="29">
        <f t="shared" si="13"/>
        <v>100155.29205541495</v>
      </c>
      <c r="AE27" s="29">
        <f t="shared" si="13"/>
        <v>92736.381532791624</v>
      </c>
      <c r="AF27" s="29">
        <f t="shared" si="13"/>
        <v>85867.019937770019</v>
      </c>
      <c r="AG27" s="29">
        <f t="shared" si="13"/>
        <v>79506.49994237964</v>
      </c>
      <c r="AH27" s="29">
        <f t="shared" si="13"/>
        <v>73617.129576277439</v>
      </c>
      <c r="AI27" s="29">
        <f t="shared" si="13"/>
        <v>68164.008866923556</v>
      </c>
      <c r="AJ27" s="29">
        <f t="shared" si="13"/>
        <v>63114.82302492921</v>
      </c>
      <c r="AK27" s="29">
        <f>+AK16*AK18</f>
        <v>58439.650949008523</v>
      </c>
    </row>
    <row r="28" spans="2:37" x14ac:dyDescent="0.25"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</row>
    <row r="29" spans="2:37" x14ac:dyDescent="0.25"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</row>
    <row r="30" spans="2:37" x14ac:dyDescent="0.25">
      <c r="B30" s="122">
        <f>+C30/C32</f>
        <v>0.8041666666666667</v>
      </c>
      <c r="C30">
        <v>19.3</v>
      </c>
      <c r="D30">
        <v>7.2999999999999995E-2</v>
      </c>
      <c r="E30">
        <f>+D30*C30</f>
        <v>1.4089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</row>
    <row r="31" spans="2:37" x14ac:dyDescent="0.25">
      <c r="B31" s="122">
        <f>+C31/C32</f>
        <v>0.19583333333333333</v>
      </c>
      <c r="C31">
        <v>4.7</v>
      </c>
      <c r="D31">
        <v>0</v>
      </c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</row>
    <row r="32" spans="2:37" x14ac:dyDescent="0.25">
      <c r="C32">
        <f>+C31+C30</f>
        <v>24</v>
      </c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3:37" x14ac:dyDescent="0.25"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3:37" ht="21" x14ac:dyDescent="0.35">
      <c r="J34" s="12"/>
      <c r="K34" s="12"/>
      <c r="L34" s="19" t="s">
        <v>116</v>
      </c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6" spans="3:37" x14ac:dyDescent="0.25">
      <c r="M36" s="22" t="s">
        <v>114</v>
      </c>
    </row>
    <row r="37" spans="3:37" x14ac:dyDescent="0.25">
      <c r="C37" s="116" t="s">
        <v>16</v>
      </c>
      <c r="D37" s="193" t="s">
        <v>117</v>
      </c>
      <c r="E37" s="193"/>
      <c r="O37" t="s">
        <v>118</v>
      </c>
    </row>
    <row r="38" spans="3:37" x14ac:dyDescent="0.25">
      <c r="C38" s="59" t="s">
        <v>13</v>
      </c>
      <c r="D38" s="192">
        <v>15.84</v>
      </c>
      <c r="E38" s="192"/>
      <c r="L38" s="31"/>
      <c r="M38" s="32" t="s">
        <v>117</v>
      </c>
      <c r="N38" s="31"/>
      <c r="O38" s="33">
        <f>SUM(O40:O43)</f>
        <v>9.6320478523290287</v>
      </c>
      <c r="Q38" s="56"/>
    </row>
    <row r="39" spans="3:37" x14ac:dyDescent="0.25">
      <c r="C39" s="59" t="s">
        <v>15</v>
      </c>
      <c r="D39" s="192">
        <v>10.63</v>
      </c>
      <c r="E39" s="192"/>
    </row>
    <row r="40" spans="3:37" x14ac:dyDescent="0.25">
      <c r="C40" s="59" t="s">
        <v>17</v>
      </c>
      <c r="D40" s="192">
        <v>10.039999999999999</v>
      </c>
      <c r="E40" s="192"/>
      <c r="M40" s="15" t="s">
        <v>3</v>
      </c>
      <c r="O40" s="30">
        <f>+J21/J27</f>
        <v>2.9592764414263448</v>
      </c>
    </row>
    <row r="41" spans="3:37" x14ac:dyDescent="0.25">
      <c r="C41" s="59" t="s">
        <v>19</v>
      </c>
      <c r="D41" s="194">
        <v>9.6300000000000008</v>
      </c>
      <c r="E41" s="194"/>
      <c r="M41" s="15" t="s">
        <v>100</v>
      </c>
      <c r="O41" s="30">
        <f>+J22/J27</f>
        <v>2.4401016434608245</v>
      </c>
    </row>
    <row r="42" spans="3:37" x14ac:dyDescent="0.25">
      <c r="C42" s="59" t="s">
        <v>21</v>
      </c>
      <c r="D42" s="192">
        <v>11</v>
      </c>
      <c r="E42" s="192"/>
      <c r="M42" s="15" t="s">
        <v>102</v>
      </c>
      <c r="O42" s="30">
        <f>+J23/J27</f>
        <v>4.2102325581395341</v>
      </c>
    </row>
    <row r="43" spans="3:37" x14ac:dyDescent="0.25">
      <c r="M43" s="15" t="s">
        <v>104</v>
      </c>
      <c r="O43" s="30">
        <f>+J24/J27</f>
        <v>2.2437209302325577E-2</v>
      </c>
    </row>
    <row r="46" spans="3:37" x14ac:dyDescent="0.25">
      <c r="L46" s="16" t="s">
        <v>119</v>
      </c>
    </row>
    <row r="47" spans="3:37" x14ac:dyDescent="0.25">
      <c r="M47" s="34"/>
      <c r="N47" s="34" t="s">
        <v>3</v>
      </c>
      <c r="O47" s="34" t="s">
        <v>100</v>
      </c>
      <c r="P47" s="34" t="s">
        <v>120</v>
      </c>
      <c r="Q47" s="34" t="s">
        <v>86</v>
      </c>
    </row>
    <row r="48" spans="3:37" x14ac:dyDescent="0.25">
      <c r="L48" s="34" t="s">
        <v>102</v>
      </c>
      <c r="M48" s="35">
        <v>0</v>
      </c>
      <c r="N48" s="35">
        <v>0</v>
      </c>
      <c r="O48" s="35">
        <f>+O42</f>
        <v>4.2102325581395341</v>
      </c>
      <c r="P48" s="35">
        <f>+SUM(N48:O48)</f>
        <v>4.2102325581395341</v>
      </c>
      <c r="Q48" s="37">
        <f>+P48/$P$51</f>
        <v>0.43710669036195665</v>
      </c>
    </row>
    <row r="49" spans="12:17" x14ac:dyDescent="0.25">
      <c r="L49" s="34" t="s">
        <v>121</v>
      </c>
      <c r="M49" s="35">
        <f>+P48</f>
        <v>4.2102325581395341</v>
      </c>
      <c r="N49" s="35">
        <f>+O40</f>
        <v>2.9592764414263448</v>
      </c>
      <c r="O49" s="35">
        <f>+O41</f>
        <v>2.4401016434608245</v>
      </c>
      <c r="P49" s="35">
        <f>+SUM(N49:O49)</f>
        <v>5.3993780848871697</v>
      </c>
      <c r="Q49" s="37">
        <f t="shared" ref="Q49:Q50" si="14">+P49/$P$51</f>
        <v>0.56056387672343222</v>
      </c>
    </row>
    <row r="50" spans="12:17" x14ac:dyDescent="0.25">
      <c r="L50" s="34" t="s">
        <v>104</v>
      </c>
      <c r="M50" s="35">
        <f>+M49+P49</f>
        <v>9.6096106430267039</v>
      </c>
      <c r="N50" s="35">
        <v>0</v>
      </c>
      <c r="O50" s="35">
        <f>+O43</f>
        <v>2.2437209302325577E-2</v>
      </c>
      <c r="P50" s="35">
        <f>+SUM(N50:O50)</f>
        <v>2.2437209302325577E-2</v>
      </c>
      <c r="Q50" s="37">
        <f t="shared" si="14"/>
        <v>2.3294329146112229E-3</v>
      </c>
    </row>
    <row r="51" spans="12:17" x14ac:dyDescent="0.25">
      <c r="L51" s="34" t="s">
        <v>105</v>
      </c>
      <c r="M51" s="35"/>
      <c r="N51" s="35"/>
      <c r="O51" s="35"/>
      <c r="P51" s="35">
        <f>+SUM(P48:P50)</f>
        <v>9.6320478523290287</v>
      </c>
      <c r="Q51" s="36"/>
    </row>
  </sheetData>
  <mergeCells count="8">
    <mergeCell ref="C3:E3"/>
    <mergeCell ref="D42:E42"/>
    <mergeCell ref="D37:E37"/>
    <mergeCell ref="D38:E38"/>
    <mergeCell ref="D39:E39"/>
    <mergeCell ref="D40:E40"/>
    <mergeCell ref="D41:E41"/>
    <mergeCell ref="C20:E25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3F5AB0-727B-4274-A580-8A9CFA9040F8}">
          <x14:formula1>
            <xm:f>Capacidad!$B$4:$B$8</xm:f>
          </x14:formula1>
          <xm:sqref>C3:E3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FB3E-3071-47B6-AFD6-8F57F7FA8C14}">
  <dimension ref="B2:AC30"/>
  <sheetViews>
    <sheetView showGridLines="0" zoomScale="120" zoomScaleNormal="120" workbookViewId="0">
      <selection activeCell="AB23" sqref="AB23"/>
    </sheetView>
  </sheetViews>
  <sheetFormatPr baseColWidth="10" defaultColWidth="11.42578125" defaultRowHeight="15" x14ac:dyDescent="0.25"/>
  <cols>
    <col min="1" max="1" width="7.140625" customWidth="1"/>
    <col min="20" max="20" width="12.5703125" bestFit="1" customWidth="1"/>
    <col min="28" max="28" width="19.28515625" bestFit="1" customWidth="1"/>
  </cols>
  <sheetData>
    <row r="2" spans="2:29" x14ac:dyDescent="0.25">
      <c r="B2" s="13" t="s">
        <v>122</v>
      </c>
      <c r="C2" s="14"/>
      <c r="D2" s="14"/>
      <c r="E2" s="14"/>
      <c r="F2" s="14"/>
      <c r="G2" s="14"/>
      <c r="K2" s="13" t="s">
        <v>123</v>
      </c>
      <c r="L2" s="14"/>
      <c r="M2" s="14"/>
      <c r="N2" s="14"/>
      <c r="O2" s="14"/>
      <c r="P2" s="14"/>
      <c r="T2" s="13" t="s">
        <v>124</v>
      </c>
      <c r="U2" s="14"/>
      <c r="V2" s="14"/>
      <c r="W2" s="14"/>
      <c r="X2" s="14"/>
      <c r="Y2" s="14"/>
    </row>
    <row r="11" spans="2:29" x14ac:dyDescent="0.25">
      <c r="AB11" s="27">
        <v>1843467</v>
      </c>
      <c r="AC11" t="s">
        <v>125</v>
      </c>
    </row>
    <row r="12" spans="2:29" x14ac:dyDescent="0.25">
      <c r="AB12" s="38"/>
    </row>
    <row r="13" spans="2:29" x14ac:dyDescent="0.25">
      <c r="AB13" s="38"/>
    </row>
    <row r="14" spans="2:29" x14ac:dyDescent="0.25">
      <c r="AB14" s="38"/>
    </row>
    <row r="15" spans="2:29" x14ac:dyDescent="0.25">
      <c r="AB15" s="38"/>
    </row>
    <row r="16" spans="2:29" x14ac:dyDescent="0.25">
      <c r="AB16" s="27">
        <v>1547800</v>
      </c>
      <c r="AC16" t="s">
        <v>125</v>
      </c>
    </row>
    <row r="17" spans="20:29" x14ac:dyDescent="0.25">
      <c r="AB17" s="38"/>
    </row>
    <row r="18" spans="20:29" x14ac:dyDescent="0.25">
      <c r="AB18" s="27">
        <v>3254180</v>
      </c>
      <c r="AC18" t="s">
        <v>125</v>
      </c>
    </row>
    <row r="20" spans="20:29" x14ac:dyDescent="0.25">
      <c r="AB20" s="27">
        <v>4571170</v>
      </c>
      <c r="AC20" t="s">
        <v>125</v>
      </c>
    </row>
    <row r="29" spans="20:29" x14ac:dyDescent="0.25">
      <c r="T29" s="17">
        <v>2.3700440528634363</v>
      </c>
      <c r="U29" s="18">
        <v>9546</v>
      </c>
      <c r="V29" s="56">
        <f>+U29/T29</f>
        <v>4027.773234200743</v>
      </c>
      <c r="W29">
        <f>+V29/227.6</f>
        <v>17.696718955187798</v>
      </c>
    </row>
    <row r="30" spans="20:29" x14ac:dyDescent="0.25">
      <c r="T30" s="12"/>
      <c r="U30" s="1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F574-2C37-450B-94B4-ED29F03927F8}">
  <dimension ref="B1:AC78"/>
  <sheetViews>
    <sheetView showGridLines="0" tabSelected="1" topLeftCell="G1" workbookViewId="0">
      <selection activeCell="R27" sqref="R27"/>
    </sheetView>
  </sheetViews>
  <sheetFormatPr baseColWidth="10" defaultColWidth="11.42578125" defaultRowHeight="15" x14ac:dyDescent="0.25"/>
  <cols>
    <col min="1" max="1" width="5.28515625" customWidth="1"/>
    <col min="3" max="3" width="31.140625" bestFit="1" customWidth="1"/>
    <col min="4" max="4" width="17.7109375" bestFit="1" customWidth="1"/>
    <col min="5" max="6" width="14.28515625" customWidth="1"/>
    <col min="7" max="7" width="19.28515625" bestFit="1" customWidth="1"/>
    <col min="8" max="8" width="14" customWidth="1"/>
    <col min="9" max="9" width="14.7109375" bestFit="1" customWidth="1"/>
    <col min="10" max="11" width="13.28515625" bestFit="1" customWidth="1"/>
    <col min="12" max="12" width="12.28515625" bestFit="1" customWidth="1"/>
    <col min="13" max="13" width="18.5703125" customWidth="1"/>
    <col min="14" max="14" width="15.140625" bestFit="1" customWidth="1"/>
    <col min="15" max="15" width="14" customWidth="1"/>
    <col min="16" max="18" width="12.28515625" bestFit="1" customWidth="1"/>
  </cols>
  <sheetData>
    <row r="1" spans="2:29" x14ac:dyDescent="0.25">
      <c r="D1" s="12"/>
    </row>
    <row r="2" spans="2:29" x14ac:dyDescent="0.25">
      <c r="B2" s="196" t="s">
        <v>19</v>
      </c>
      <c r="C2" s="196"/>
      <c r="D2" s="12"/>
    </row>
    <row r="3" spans="2:29" x14ac:dyDescent="0.25">
      <c r="B3" s="80"/>
      <c r="C3" s="80" t="s">
        <v>126</v>
      </c>
      <c r="D3" s="80">
        <v>0</v>
      </c>
      <c r="E3" s="80">
        <v>1</v>
      </c>
      <c r="F3" s="80">
        <v>2</v>
      </c>
      <c r="G3" s="80">
        <v>3</v>
      </c>
      <c r="H3" s="80">
        <v>4</v>
      </c>
      <c r="I3" s="80">
        <v>5</v>
      </c>
      <c r="J3" s="80">
        <v>6</v>
      </c>
      <c r="K3" s="80">
        <v>7</v>
      </c>
      <c r="L3" s="80">
        <v>8</v>
      </c>
      <c r="M3" s="80">
        <v>9</v>
      </c>
      <c r="N3" s="80">
        <v>10</v>
      </c>
      <c r="O3" s="80">
        <v>11</v>
      </c>
      <c r="P3" s="80">
        <v>12</v>
      </c>
      <c r="Q3" s="80">
        <v>13</v>
      </c>
      <c r="R3" s="80">
        <v>14</v>
      </c>
      <c r="S3" s="80">
        <v>15</v>
      </c>
      <c r="T3" s="80">
        <v>16</v>
      </c>
      <c r="U3" s="80">
        <v>17</v>
      </c>
      <c r="V3" s="80">
        <v>18</v>
      </c>
      <c r="W3" s="80">
        <v>19</v>
      </c>
      <c r="X3" s="80">
        <v>20</v>
      </c>
      <c r="Y3" s="80">
        <v>21</v>
      </c>
      <c r="Z3" s="80">
        <v>22</v>
      </c>
      <c r="AA3" s="80">
        <v>23</v>
      </c>
      <c r="AB3" s="80">
        <v>24</v>
      </c>
      <c r="AC3" s="80">
        <v>25</v>
      </c>
    </row>
    <row r="4" spans="2:29" x14ac:dyDescent="0.25">
      <c r="C4" t="s">
        <v>3</v>
      </c>
      <c r="D4" s="115">
        <f>+IF(B2='DATOS '!J3,'DATOS '!L3,IF(B2='DATOS '!J4,'DATOS '!L4,IF(B2='DATOS '!J5,'DATOS '!L5,IF(B2='DATOS '!J6,'DATOS '!L6,IF(B2='DATOS '!J7,'DATOS '!L7)))))</f>
        <v>8138196.5</v>
      </c>
      <c r="E4" s="12">
        <f>+IF(MOD(E3,LCOH!$D$17)=0,(LCOH!$D$12*LCOH!$D$10*LCOH!$D$17),0)</f>
        <v>0</v>
      </c>
      <c r="F4" s="12">
        <f>+IF(MOD(F3,LCOH!$D$17)=0,(LCOH!$D$12*LCOH!$D$10*LCOH!$D$17),0)</f>
        <v>0</v>
      </c>
      <c r="G4" s="12">
        <f>+IF(MOD(G3,LCOH!$D$17)=0,(LCOH!$D$12*LCOH!$D$10*LCOH!$D$17),0)</f>
        <v>0</v>
      </c>
      <c r="H4" s="12">
        <f>+IF(MOD(H3,LCOH!$D$17)=0,(LCOH!$D$12*LCOH!$D$10*LCOH!$D$17),0)</f>
        <v>0</v>
      </c>
      <c r="I4" s="12">
        <f>+IF(MOD(I3,LCOH!$D$17)=0,(LCOH!$D$12*LCOH!$D$10*LCOH!$D$17),0)</f>
        <v>0</v>
      </c>
      <c r="J4" s="12">
        <f>+IF(MOD(J3,LCOH!$D$17)=0,(LCOH!$D$12*LCOH!$D$10*LCOH!$D$17),0)</f>
        <v>0</v>
      </c>
      <c r="K4" s="12">
        <f>+IF(MOD(K3,LCOH!$D$17)=0,(LCOH!$D$12*LCOH!$D$10*LCOH!$D$17),0)</f>
        <v>0</v>
      </c>
      <c r="L4" s="12">
        <f>+IF(MOD(L3,LCOH!$D$17)=0,(LCOH!$D$12*LCOH!$D$10*LCOH!$D$17),0)</f>
        <v>0</v>
      </c>
      <c r="M4" s="12">
        <f>+IF(MOD(M3,LCOH!$D$17)=0,(LCOH!$D$12*LCOH!$D$10*LCOH!$D$17),0)</f>
        <v>0</v>
      </c>
      <c r="N4" s="12">
        <f>+IF(MOD(N3,LCOH!$D$17)=0,(LCOH!$D$12*LCOH!$D$10*LCOH!$D$7),0)</f>
        <v>1383493.4050000003</v>
      </c>
      <c r="O4" s="12">
        <f>+IF(MOD(O3,LCOH!$D$17)=0,(LCOH!$D$12*LCOH!$D$10*LCOH!$D$7),0)</f>
        <v>0</v>
      </c>
      <c r="P4" s="12">
        <f>+IF(MOD(P3,LCOH!$D$17)=0,(LCOH!$D$12*LCOH!$D$10*LCOH!$D$7),0)</f>
        <v>0</v>
      </c>
      <c r="Q4" s="12">
        <f>+IF(MOD(Q3,LCOH!$D$17)=0,(LCOH!$D$12*LCOH!$D$10*LCOH!$D$7),0)</f>
        <v>0</v>
      </c>
      <c r="R4" s="12">
        <f>+IF(MOD(R3,LCOH!$D$17)=0,(LCOH!$D$12*LCOH!$D$10*LCOH!$D$7),0)</f>
        <v>0</v>
      </c>
      <c r="S4" s="12">
        <f>+IF(MOD(S3,LCOH!$D$17)=0,(LCOH!$D$12*LCOH!$D$10*LCOH!$D$7),0)</f>
        <v>0</v>
      </c>
      <c r="T4" s="12">
        <f>+IF(MOD(T3,LCOH!$D$17)=0,(LCOH!$D$12*LCOH!$D$10*LCOH!$D$7),0)</f>
        <v>0</v>
      </c>
      <c r="U4" s="12">
        <f>+IF(MOD(U3,LCOH!$D$17)=0,(LCOH!$D$12*LCOH!$D$10*LCOH!$D$7),0)</f>
        <v>0</v>
      </c>
      <c r="V4" s="12">
        <f>+IF(MOD(V3,LCOH!$D$17)=0,(LCOH!$D$12*LCOH!$D$10*LCOH!$D$7),0)</f>
        <v>0</v>
      </c>
      <c r="W4" s="12">
        <f>+IF(MOD(W3,LCOH!$D$17)=0,(LCOH!$D$12*LCOH!$D$10*LCOH!$D$7),0)</f>
        <v>0</v>
      </c>
      <c r="X4" s="12">
        <f>+IF(MOD(X3,LCOH!$D$17)=0,(LCOH!$D$12*LCOH!$D$10*LCOH!$D$7),0)</f>
        <v>1383493.4050000003</v>
      </c>
      <c r="Y4" s="12">
        <f>+IF(MOD(Y3,LCOH!$D$17)=0,(LCOH!$D$12*LCOH!$D$10*LCOH!$D$7),0)</f>
        <v>0</v>
      </c>
      <c r="Z4" s="12">
        <f>+IF(MOD(Z3,LCOH!$D$17)=0,(LCOH!$D$12*LCOH!$D$10*LCOH!$D$7),0)</f>
        <v>0</v>
      </c>
      <c r="AA4" s="12">
        <f>+IF(MOD(AA3,LCOH!$D$17)=0,(LCOH!$D$12*LCOH!$D$10*LCOH!$D$7),0)</f>
        <v>0</v>
      </c>
      <c r="AB4" s="12">
        <f>+IF(MOD(AB3,LCOH!$D$17)=0,(LCOH!$D$12*LCOH!$D$10*LCOH!$D$7),0)</f>
        <v>0</v>
      </c>
      <c r="AC4" s="12">
        <f>+IF(MOD(AC3,LCOH!$D$17)=0,(LCOH!$D$12*LCOH!$D$10*LCOH!$D$17),0)</f>
        <v>0</v>
      </c>
    </row>
    <row r="5" spans="2:29" x14ac:dyDescent="0.25">
      <c r="B5" s="201" t="s">
        <v>127</v>
      </c>
      <c r="C5" s="40" t="s">
        <v>128</v>
      </c>
      <c r="D5" s="40">
        <v>0</v>
      </c>
      <c r="E5" s="114">
        <f>+IF(B2=Capacidad!B4,Capacidad!J4,IF(B2=Capacidad!B5,Capacidad!J5,IF(B2=Capacidad!B6,Capacidad!J6,IF('Flujo de caja'!B2=Capacidad!B7,Capacidad!J7,IF(B2=Capacidad!B8,Capacidad!J8)))))</f>
        <v>400222.5</v>
      </c>
      <c r="F5" s="42">
        <f>+E5</f>
        <v>400222.5</v>
      </c>
      <c r="G5" s="42">
        <f t="shared" ref="G5:AC5" si="0">+F5</f>
        <v>400222.5</v>
      </c>
      <c r="H5" s="42">
        <f t="shared" si="0"/>
        <v>400222.5</v>
      </c>
      <c r="I5" s="42">
        <f t="shared" si="0"/>
        <v>400222.5</v>
      </c>
      <c r="J5" s="42">
        <f t="shared" si="0"/>
        <v>400222.5</v>
      </c>
      <c r="K5" s="42">
        <f t="shared" si="0"/>
        <v>400222.5</v>
      </c>
      <c r="L5" s="42">
        <f t="shared" si="0"/>
        <v>400222.5</v>
      </c>
      <c r="M5" s="42">
        <f t="shared" si="0"/>
        <v>400222.5</v>
      </c>
      <c r="N5" s="42">
        <f t="shared" si="0"/>
        <v>400222.5</v>
      </c>
      <c r="O5" s="42">
        <f t="shared" si="0"/>
        <v>400222.5</v>
      </c>
      <c r="P5" s="42">
        <f t="shared" si="0"/>
        <v>400222.5</v>
      </c>
      <c r="Q5" s="42">
        <f t="shared" si="0"/>
        <v>400222.5</v>
      </c>
      <c r="R5" s="42">
        <f t="shared" si="0"/>
        <v>400222.5</v>
      </c>
      <c r="S5" s="42">
        <f t="shared" si="0"/>
        <v>400222.5</v>
      </c>
      <c r="T5" s="42">
        <f t="shared" si="0"/>
        <v>400222.5</v>
      </c>
      <c r="U5" s="42">
        <f t="shared" si="0"/>
        <v>400222.5</v>
      </c>
      <c r="V5" s="42">
        <f t="shared" si="0"/>
        <v>400222.5</v>
      </c>
      <c r="W5" s="42">
        <f t="shared" si="0"/>
        <v>400222.5</v>
      </c>
      <c r="X5" s="42">
        <f t="shared" si="0"/>
        <v>400222.5</v>
      </c>
      <c r="Y5" s="42">
        <f t="shared" si="0"/>
        <v>400222.5</v>
      </c>
      <c r="Z5" s="42">
        <f t="shared" si="0"/>
        <v>400222.5</v>
      </c>
      <c r="AA5" s="42">
        <f t="shared" si="0"/>
        <v>400222.5</v>
      </c>
      <c r="AB5" s="42">
        <f t="shared" si="0"/>
        <v>400222.5</v>
      </c>
      <c r="AC5" s="42">
        <f t="shared" si="0"/>
        <v>400222.5</v>
      </c>
    </row>
    <row r="6" spans="2:29" x14ac:dyDescent="0.25">
      <c r="B6" s="201"/>
      <c r="C6" s="40" t="s">
        <v>129</v>
      </c>
      <c r="D6" s="44">
        <v>0</v>
      </c>
      <c r="E6" s="43">
        <f>IF(B2=LCOH!C38,LCOH!D38,IF(B2=LCOH!C39,LCOH!D39,IF(B2=LCOH!C40,LCOH!D40,IF(B2=LCOH!C41,LCOH!D41,IF(B2=LCOH!C42,LCOH!D42)))))</f>
        <v>9.6300000000000008</v>
      </c>
      <c r="F6" s="43">
        <f t="shared" ref="F6:AC6" si="1">+E6*1.05</f>
        <v>10.111500000000001</v>
      </c>
      <c r="G6" s="43">
        <f t="shared" si="1"/>
        <v>10.617075000000002</v>
      </c>
      <c r="H6" s="43">
        <f t="shared" si="1"/>
        <v>11.147928750000002</v>
      </c>
      <c r="I6" s="43">
        <f t="shared" si="1"/>
        <v>11.705325187500003</v>
      </c>
      <c r="J6" s="43">
        <f t="shared" si="1"/>
        <v>12.290591446875004</v>
      </c>
      <c r="K6" s="43">
        <f t="shared" si="1"/>
        <v>12.905121019218754</v>
      </c>
      <c r="L6" s="43">
        <f t="shared" si="1"/>
        <v>13.550377070179692</v>
      </c>
      <c r="M6" s="43">
        <f t="shared" si="1"/>
        <v>14.227895923688678</v>
      </c>
      <c r="N6" s="43">
        <f t="shared" si="1"/>
        <v>14.939290719873112</v>
      </c>
      <c r="O6" s="43">
        <f t="shared" si="1"/>
        <v>15.686255255866769</v>
      </c>
      <c r="P6" s="43">
        <f t="shared" si="1"/>
        <v>16.470568018660106</v>
      </c>
      <c r="Q6" s="43">
        <f t="shared" si="1"/>
        <v>17.294096419593114</v>
      </c>
      <c r="R6" s="43">
        <f t="shared" si="1"/>
        <v>18.158801240572771</v>
      </c>
      <c r="S6" s="43">
        <f t="shared" si="1"/>
        <v>19.066741302601411</v>
      </c>
      <c r="T6" s="43">
        <f t="shared" si="1"/>
        <v>20.020078367731482</v>
      </c>
      <c r="U6" s="43">
        <f t="shared" si="1"/>
        <v>21.021082286118059</v>
      </c>
      <c r="V6" s="43">
        <f t="shared" si="1"/>
        <v>22.072136400423961</v>
      </c>
      <c r="W6" s="43">
        <f t="shared" si="1"/>
        <v>23.17574322044516</v>
      </c>
      <c r="X6" s="43">
        <f t="shared" si="1"/>
        <v>24.33453038146742</v>
      </c>
      <c r="Y6" s="43">
        <f t="shared" si="1"/>
        <v>25.551256900540793</v>
      </c>
      <c r="Z6" s="43">
        <f t="shared" si="1"/>
        <v>26.828819745567834</v>
      </c>
      <c r="AA6" s="43">
        <f t="shared" si="1"/>
        <v>28.170260732846227</v>
      </c>
      <c r="AB6" s="43">
        <f t="shared" si="1"/>
        <v>29.578773769488539</v>
      </c>
      <c r="AC6" s="43">
        <f t="shared" si="1"/>
        <v>31.057712457962968</v>
      </c>
    </row>
    <row r="7" spans="2:29" x14ac:dyDescent="0.25">
      <c r="B7" s="201"/>
      <c r="C7" s="40" t="s">
        <v>130</v>
      </c>
      <c r="D7" s="44">
        <f t="shared" ref="D7:AC7" si="2">+D6*D5</f>
        <v>0</v>
      </c>
      <c r="E7" s="44">
        <f t="shared" si="2"/>
        <v>3854142.6750000003</v>
      </c>
      <c r="F7" s="44">
        <f t="shared" si="2"/>
        <v>4046849.8087500003</v>
      </c>
      <c r="G7" s="44">
        <f t="shared" si="2"/>
        <v>4249192.299187501</v>
      </c>
      <c r="H7" s="44">
        <f t="shared" si="2"/>
        <v>4461651.914146876</v>
      </c>
      <c r="I7" s="44">
        <f t="shared" si="2"/>
        <v>4684734.5098542199</v>
      </c>
      <c r="J7" s="44">
        <f t="shared" si="2"/>
        <v>4918971.235346931</v>
      </c>
      <c r="K7" s="44">
        <f t="shared" si="2"/>
        <v>5164919.7971142782</v>
      </c>
      <c r="L7" s="44">
        <f t="shared" si="2"/>
        <v>5423165.7869699923</v>
      </c>
      <c r="M7" s="44">
        <f t="shared" si="2"/>
        <v>5694324.0763184922</v>
      </c>
      <c r="N7" s="44">
        <f t="shared" si="2"/>
        <v>5979040.2801344162</v>
      </c>
      <c r="O7" s="44">
        <f t="shared" si="2"/>
        <v>6277992.294141138</v>
      </c>
      <c r="P7" s="44">
        <f t="shared" si="2"/>
        <v>6591891.9088481944</v>
      </c>
      <c r="Q7" s="44">
        <f t="shared" si="2"/>
        <v>6921486.504290605</v>
      </c>
      <c r="R7" s="44">
        <f t="shared" si="2"/>
        <v>7267560.8295051362</v>
      </c>
      <c r="S7" s="44">
        <f t="shared" si="2"/>
        <v>7630938.8709803931</v>
      </c>
      <c r="T7" s="44">
        <f t="shared" si="2"/>
        <v>8012485.8145294134</v>
      </c>
      <c r="U7" s="44">
        <f t="shared" si="2"/>
        <v>8413110.105255885</v>
      </c>
      <c r="V7" s="44">
        <f t="shared" si="2"/>
        <v>8833765.610518679</v>
      </c>
      <c r="W7" s="44">
        <f t="shared" si="2"/>
        <v>9275453.891044613</v>
      </c>
      <c r="X7" s="44">
        <f t="shared" si="2"/>
        <v>9739226.5855968446</v>
      </c>
      <c r="Y7" s="44">
        <f t="shared" si="2"/>
        <v>10226187.914876688</v>
      </c>
      <c r="Z7" s="44">
        <f t="shared" si="2"/>
        <v>10737497.310620522</v>
      </c>
      <c r="AA7" s="44">
        <f t="shared" si="2"/>
        <v>11274372.176151549</v>
      </c>
      <c r="AB7" s="44">
        <f t="shared" si="2"/>
        <v>11838090.784959126</v>
      </c>
      <c r="AC7" s="44">
        <f t="shared" si="2"/>
        <v>12429995.324207084</v>
      </c>
    </row>
    <row r="8" spans="2:29" hidden="1" x14ac:dyDescent="0.25">
      <c r="B8" s="201"/>
      <c r="C8" s="40" t="s">
        <v>131</v>
      </c>
      <c r="D8" s="44">
        <v>0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C8" s="44">
        <v>0</v>
      </c>
    </row>
    <row r="9" spans="2:29" x14ac:dyDescent="0.25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29" x14ac:dyDescent="0.25">
      <c r="B10" s="200" t="s">
        <v>132</v>
      </c>
      <c r="C10" s="47" t="s">
        <v>133</v>
      </c>
      <c r="D10" s="48"/>
      <c r="E10" s="127">
        <f>+IF(B2=Capacidad!B4,Capacidad!O4,IF(B2=Capacidad!B5,Capacidad!O5,IF(B2=Capacidad!B6,Capacidad!O6,IF(B2=Capacidad!B7,Capacidad!O7,IF(B2=Capacidad!B8,Capacidad!O8)))))</f>
        <v>2.2437209302325581E-2</v>
      </c>
      <c r="F10" s="117">
        <f>+E10</f>
        <v>2.2437209302325581E-2</v>
      </c>
      <c r="G10" s="117">
        <f t="shared" ref="G10:AC10" si="3">+F10</f>
        <v>2.2437209302325581E-2</v>
      </c>
      <c r="H10" s="117">
        <f t="shared" si="3"/>
        <v>2.2437209302325581E-2</v>
      </c>
      <c r="I10" s="117">
        <f t="shared" si="3"/>
        <v>2.2437209302325581E-2</v>
      </c>
      <c r="J10" s="117">
        <f t="shared" si="3"/>
        <v>2.2437209302325581E-2</v>
      </c>
      <c r="K10" s="117">
        <f t="shared" si="3"/>
        <v>2.2437209302325581E-2</v>
      </c>
      <c r="L10" s="117">
        <f t="shared" si="3"/>
        <v>2.2437209302325581E-2</v>
      </c>
      <c r="M10" s="117">
        <f t="shared" si="3"/>
        <v>2.2437209302325581E-2</v>
      </c>
      <c r="N10" s="117">
        <f t="shared" si="3"/>
        <v>2.2437209302325581E-2</v>
      </c>
      <c r="O10" s="117">
        <f t="shared" si="3"/>
        <v>2.2437209302325581E-2</v>
      </c>
      <c r="P10" s="117">
        <f t="shared" si="3"/>
        <v>2.2437209302325581E-2</v>
      </c>
      <c r="Q10" s="117">
        <f t="shared" si="3"/>
        <v>2.2437209302325581E-2</v>
      </c>
      <c r="R10" s="117">
        <f t="shared" si="3"/>
        <v>2.2437209302325581E-2</v>
      </c>
      <c r="S10" s="117">
        <f t="shared" si="3"/>
        <v>2.2437209302325581E-2</v>
      </c>
      <c r="T10" s="117">
        <f t="shared" si="3"/>
        <v>2.2437209302325581E-2</v>
      </c>
      <c r="U10" s="117">
        <f t="shared" si="3"/>
        <v>2.2437209302325581E-2</v>
      </c>
      <c r="V10" s="117">
        <f t="shared" si="3"/>
        <v>2.2437209302325581E-2</v>
      </c>
      <c r="W10" s="117">
        <f t="shared" si="3"/>
        <v>2.2437209302325581E-2</v>
      </c>
      <c r="X10" s="117">
        <f t="shared" si="3"/>
        <v>2.2437209302325581E-2</v>
      </c>
      <c r="Y10" s="117">
        <f t="shared" si="3"/>
        <v>2.2437209302325581E-2</v>
      </c>
      <c r="Z10" s="117">
        <f t="shared" si="3"/>
        <v>2.2437209302325581E-2</v>
      </c>
      <c r="AA10" s="117">
        <f t="shared" si="3"/>
        <v>2.2437209302325581E-2</v>
      </c>
      <c r="AB10" s="117">
        <f t="shared" si="3"/>
        <v>2.2437209302325581E-2</v>
      </c>
      <c r="AC10" s="117">
        <f t="shared" si="3"/>
        <v>2.2437209302325581E-2</v>
      </c>
    </row>
    <row r="11" spans="2:29" x14ac:dyDescent="0.25">
      <c r="B11" s="200"/>
      <c r="C11" s="47" t="s">
        <v>134</v>
      </c>
      <c r="D11" s="48"/>
      <c r="E11" s="48">
        <f t="shared" ref="E11:AC11" si="4">+E10*E5*1</f>
        <v>8979.8760000000002</v>
      </c>
      <c r="F11" s="48">
        <f t="shared" si="4"/>
        <v>8979.8760000000002</v>
      </c>
      <c r="G11" s="48">
        <f t="shared" si="4"/>
        <v>8979.8760000000002</v>
      </c>
      <c r="H11" s="48">
        <f t="shared" si="4"/>
        <v>8979.8760000000002</v>
      </c>
      <c r="I11" s="48">
        <f t="shared" si="4"/>
        <v>8979.8760000000002</v>
      </c>
      <c r="J11" s="48">
        <f t="shared" si="4"/>
        <v>8979.8760000000002</v>
      </c>
      <c r="K11" s="48">
        <f t="shared" si="4"/>
        <v>8979.8760000000002</v>
      </c>
      <c r="L11" s="48">
        <f t="shared" si="4"/>
        <v>8979.8760000000002</v>
      </c>
      <c r="M11" s="48">
        <f t="shared" si="4"/>
        <v>8979.8760000000002</v>
      </c>
      <c r="N11" s="48">
        <f t="shared" si="4"/>
        <v>8979.8760000000002</v>
      </c>
      <c r="O11" s="48">
        <f t="shared" si="4"/>
        <v>8979.8760000000002</v>
      </c>
      <c r="P11" s="48">
        <f t="shared" si="4"/>
        <v>8979.8760000000002</v>
      </c>
      <c r="Q11" s="48">
        <f t="shared" si="4"/>
        <v>8979.8760000000002</v>
      </c>
      <c r="R11" s="48">
        <f t="shared" si="4"/>
        <v>8979.8760000000002</v>
      </c>
      <c r="S11" s="48">
        <f t="shared" si="4"/>
        <v>8979.8760000000002</v>
      </c>
      <c r="T11" s="48">
        <f t="shared" si="4"/>
        <v>8979.8760000000002</v>
      </c>
      <c r="U11" s="48">
        <f t="shared" si="4"/>
        <v>8979.8760000000002</v>
      </c>
      <c r="V11" s="48">
        <f t="shared" si="4"/>
        <v>8979.8760000000002</v>
      </c>
      <c r="W11" s="48">
        <f t="shared" si="4"/>
        <v>8979.8760000000002</v>
      </c>
      <c r="X11" s="48">
        <f t="shared" si="4"/>
        <v>8979.8760000000002</v>
      </c>
      <c r="Y11" s="48">
        <f t="shared" si="4"/>
        <v>8979.8760000000002</v>
      </c>
      <c r="Z11" s="48">
        <f t="shared" si="4"/>
        <v>8979.8760000000002</v>
      </c>
      <c r="AA11" s="48">
        <f t="shared" si="4"/>
        <v>8979.8760000000002</v>
      </c>
      <c r="AB11" s="48">
        <f t="shared" si="4"/>
        <v>8979.8760000000002</v>
      </c>
      <c r="AC11" s="48">
        <f t="shared" si="4"/>
        <v>8979.8760000000002</v>
      </c>
    </row>
    <row r="12" spans="2:29" s="56" customFormat="1" x14ac:dyDescent="0.25">
      <c r="B12" s="200"/>
      <c r="C12" s="119" t="s">
        <v>135</v>
      </c>
      <c r="D12" s="119"/>
      <c r="E12" s="119">
        <f>+IF(B2=Capacidad!B4,Capacidad!I4,IF(B2=Capacidad!B5,Capacidad!I5,IF(B2=Capacidad!B6,Capacidad!I6,IF(B2=Capacidad!B7,Capacidad!I7,IF(B2=Capacidad!B8,Capacidad!I8)))))</f>
        <v>57.674418604651166</v>
      </c>
      <c r="F12" s="119">
        <f>+E12</f>
        <v>57.674418604651166</v>
      </c>
      <c r="G12" s="119">
        <f t="shared" ref="G12:AC12" si="5">+F12</f>
        <v>57.674418604651166</v>
      </c>
      <c r="H12" s="119">
        <f t="shared" si="5"/>
        <v>57.674418604651166</v>
      </c>
      <c r="I12" s="119">
        <f t="shared" si="5"/>
        <v>57.674418604651166</v>
      </c>
      <c r="J12" s="119">
        <f t="shared" si="5"/>
        <v>57.674418604651166</v>
      </c>
      <c r="K12" s="119">
        <f t="shared" si="5"/>
        <v>57.674418604651166</v>
      </c>
      <c r="L12" s="119">
        <f t="shared" si="5"/>
        <v>57.674418604651166</v>
      </c>
      <c r="M12" s="119">
        <f t="shared" si="5"/>
        <v>57.674418604651166</v>
      </c>
      <c r="N12" s="119">
        <f t="shared" si="5"/>
        <v>57.674418604651166</v>
      </c>
      <c r="O12" s="119">
        <f t="shared" si="5"/>
        <v>57.674418604651166</v>
      </c>
      <c r="P12" s="119">
        <f t="shared" si="5"/>
        <v>57.674418604651166</v>
      </c>
      <c r="Q12" s="119">
        <f t="shared" si="5"/>
        <v>57.674418604651166</v>
      </c>
      <c r="R12" s="119">
        <f t="shared" si="5"/>
        <v>57.674418604651166</v>
      </c>
      <c r="S12" s="119">
        <f t="shared" si="5"/>
        <v>57.674418604651166</v>
      </c>
      <c r="T12" s="119">
        <f t="shared" si="5"/>
        <v>57.674418604651166</v>
      </c>
      <c r="U12" s="119">
        <f t="shared" si="5"/>
        <v>57.674418604651166</v>
      </c>
      <c r="V12" s="119">
        <f t="shared" si="5"/>
        <v>57.674418604651166</v>
      </c>
      <c r="W12" s="119">
        <f t="shared" si="5"/>
        <v>57.674418604651166</v>
      </c>
      <c r="X12" s="119">
        <f t="shared" si="5"/>
        <v>57.674418604651166</v>
      </c>
      <c r="Y12" s="119">
        <f t="shared" si="5"/>
        <v>57.674418604651166</v>
      </c>
      <c r="Z12" s="119">
        <f t="shared" si="5"/>
        <v>57.674418604651166</v>
      </c>
      <c r="AA12" s="119">
        <f t="shared" si="5"/>
        <v>57.674418604651166</v>
      </c>
      <c r="AB12" s="119">
        <f t="shared" si="5"/>
        <v>57.674418604651166</v>
      </c>
      <c r="AC12" s="119">
        <f t="shared" si="5"/>
        <v>57.674418604651166</v>
      </c>
    </row>
    <row r="13" spans="2:29" x14ac:dyDescent="0.25">
      <c r="B13" s="200"/>
      <c r="C13" s="47" t="s">
        <v>136</v>
      </c>
      <c r="D13" s="48"/>
      <c r="E13" s="48">
        <f>+E12*E5*LCOH!$D$8</f>
        <v>1685029.7999999998</v>
      </c>
      <c r="F13" s="48">
        <f>+F12*F5*LCOH!$D$8</f>
        <v>1685029.7999999998</v>
      </c>
      <c r="G13" s="48">
        <f>+G12*G5*LCOH!$D$8</f>
        <v>1685029.7999999998</v>
      </c>
      <c r="H13" s="48">
        <f>+H12*H5*LCOH!$D$8</f>
        <v>1685029.7999999998</v>
      </c>
      <c r="I13" s="48">
        <f>+I12*I5*LCOH!$D$8</f>
        <v>1685029.7999999998</v>
      </c>
      <c r="J13" s="48">
        <f>+J12*J5*LCOH!$D$8</f>
        <v>1685029.7999999998</v>
      </c>
      <c r="K13" s="48">
        <f>+K12*K5*LCOH!$D$8</f>
        <v>1685029.7999999998</v>
      </c>
      <c r="L13" s="48">
        <f>+L12*L5*LCOH!$D$8</f>
        <v>1685029.7999999998</v>
      </c>
      <c r="M13" s="48">
        <f>+M12*M5*LCOH!$D$8</f>
        <v>1685029.7999999998</v>
      </c>
      <c r="N13" s="48">
        <f>+N12*N5*LCOH!$D$8</f>
        <v>1685029.7999999998</v>
      </c>
      <c r="O13" s="48">
        <f>+O12*O5*LCOH!$D$8</f>
        <v>1685029.7999999998</v>
      </c>
      <c r="P13" s="48">
        <f>+P12*P5*LCOH!$D$8</f>
        <v>1685029.7999999998</v>
      </c>
      <c r="Q13" s="48">
        <f>+Q12*Q5*LCOH!$D$8</f>
        <v>1685029.7999999998</v>
      </c>
      <c r="R13" s="48">
        <f>+R12*R5*LCOH!$D$8</f>
        <v>1685029.7999999998</v>
      </c>
      <c r="S13" s="48">
        <f>+S12*S5*LCOH!$D$8</f>
        <v>1685029.7999999998</v>
      </c>
      <c r="T13" s="48">
        <f>+T12*T5*LCOH!$D$8</f>
        <v>1685029.7999999998</v>
      </c>
      <c r="U13" s="48">
        <f>+U12*U5*LCOH!$D$8</f>
        <v>1685029.7999999998</v>
      </c>
      <c r="V13" s="48">
        <f>+V12*V5*LCOH!$D$8</f>
        <v>1685029.7999999998</v>
      </c>
      <c r="W13" s="48">
        <f>+W12*W5*LCOH!$D$8</f>
        <v>1685029.7999999998</v>
      </c>
      <c r="X13" s="48">
        <f>+X12*X5*LCOH!$D$8</f>
        <v>1685029.7999999998</v>
      </c>
      <c r="Y13" s="48">
        <f>+Y12*Y5*LCOH!$D$8</f>
        <v>1685029.7999999998</v>
      </c>
      <c r="Z13" s="48">
        <f>+Z12*Z5*LCOH!$D$8</f>
        <v>1685029.7999999998</v>
      </c>
      <c r="AA13" s="48">
        <f>+AA12*AA5*LCOH!$D$8</f>
        <v>1685029.7999999998</v>
      </c>
      <c r="AB13" s="48">
        <f>+AB12*AB5*LCOH!$D$8</f>
        <v>1685029.7999999998</v>
      </c>
      <c r="AC13" s="48">
        <f>+AC12*AC5*LCOH!$D$8</f>
        <v>1685029.7999999998</v>
      </c>
    </row>
    <row r="14" spans="2:29" x14ac:dyDescent="0.25">
      <c r="B14" s="200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</row>
    <row r="15" spans="2:29" x14ac:dyDescent="0.25">
      <c r="B15" s="200"/>
      <c r="C15" s="47" t="s">
        <v>5</v>
      </c>
      <c r="D15" s="48"/>
      <c r="E15" s="115">
        <f>+D4*12%</f>
        <v>976583.58</v>
      </c>
      <c r="F15" s="48">
        <f>+E15</f>
        <v>976583.58</v>
      </c>
      <c r="G15" s="48">
        <f t="shared" ref="G15:AC15" si="6">+F15</f>
        <v>976583.58</v>
      </c>
      <c r="H15" s="48">
        <f t="shared" si="6"/>
        <v>976583.58</v>
      </c>
      <c r="I15" s="48">
        <f t="shared" si="6"/>
        <v>976583.58</v>
      </c>
      <c r="J15" s="48">
        <f t="shared" si="6"/>
        <v>976583.58</v>
      </c>
      <c r="K15" s="48">
        <f t="shared" si="6"/>
        <v>976583.58</v>
      </c>
      <c r="L15" s="48">
        <f t="shared" si="6"/>
        <v>976583.58</v>
      </c>
      <c r="M15" s="48">
        <f t="shared" si="6"/>
        <v>976583.58</v>
      </c>
      <c r="N15" s="48">
        <f t="shared" si="6"/>
        <v>976583.58</v>
      </c>
      <c r="O15" s="48">
        <f t="shared" si="6"/>
        <v>976583.58</v>
      </c>
      <c r="P15" s="48">
        <f t="shared" si="6"/>
        <v>976583.58</v>
      </c>
      <c r="Q15" s="48">
        <f t="shared" si="6"/>
        <v>976583.58</v>
      </c>
      <c r="R15" s="48">
        <f t="shared" si="6"/>
        <v>976583.58</v>
      </c>
      <c r="S15" s="48">
        <f t="shared" si="6"/>
        <v>976583.58</v>
      </c>
      <c r="T15" s="48">
        <f t="shared" si="6"/>
        <v>976583.58</v>
      </c>
      <c r="U15" s="48">
        <f t="shared" si="6"/>
        <v>976583.58</v>
      </c>
      <c r="V15" s="48">
        <f t="shared" si="6"/>
        <v>976583.58</v>
      </c>
      <c r="W15" s="48">
        <f t="shared" si="6"/>
        <v>976583.58</v>
      </c>
      <c r="X15" s="48">
        <f t="shared" si="6"/>
        <v>976583.58</v>
      </c>
      <c r="Y15" s="48">
        <f t="shared" si="6"/>
        <v>976583.58</v>
      </c>
      <c r="Z15" s="48">
        <f t="shared" si="6"/>
        <v>976583.58</v>
      </c>
      <c r="AA15" s="48">
        <f t="shared" si="6"/>
        <v>976583.58</v>
      </c>
      <c r="AB15" s="48">
        <f t="shared" si="6"/>
        <v>976583.58</v>
      </c>
      <c r="AC15" s="48">
        <f t="shared" si="6"/>
        <v>976583.58</v>
      </c>
    </row>
    <row r="16" spans="2:29" hidden="1" x14ac:dyDescent="0.25">
      <c r="B16" s="200"/>
      <c r="C16" s="47" t="s">
        <v>137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</row>
    <row r="17" spans="2:29" hidden="1" x14ac:dyDescent="0.25">
      <c r="B17" s="200"/>
      <c r="C17" s="47" t="s">
        <v>138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</row>
    <row r="18" spans="2:29" x14ac:dyDescent="0.25">
      <c r="B18" s="200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</row>
    <row r="19" spans="2:29" x14ac:dyDescent="0.25">
      <c r="B19" s="200"/>
      <c r="C19" s="49" t="s">
        <v>105</v>
      </c>
      <c r="D19" s="50"/>
      <c r="E19" s="50">
        <f>E11+E13+E15</f>
        <v>2670593.2559999996</v>
      </c>
      <c r="F19" s="50">
        <f t="shared" ref="F19:AC19" si="7">+SUM(F10:F17)</f>
        <v>2670650.9528558138</v>
      </c>
      <c r="G19" s="50">
        <f t="shared" si="7"/>
        <v>2670650.9528558138</v>
      </c>
      <c r="H19" s="50">
        <f t="shared" si="7"/>
        <v>2670650.9528558138</v>
      </c>
      <c r="I19" s="50">
        <f t="shared" si="7"/>
        <v>2670650.9528558138</v>
      </c>
      <c r="J19" s="50">
        <f t="shared" si="7"/>
        <v>2670650.9528558138</v>
      </c>
      <c r="K19" s="50">
        <f t="shared" si="7"/>
        <v>2670650.9528558138</v>
      </c>
      <c r="L19" s="50">
        <f t="shared" si="7"/>
        <v>2670650.9528558138</v>
      </c>
      <c r="M19" s="50">
        <f t="shared" si="7"/>
        <v>2670650.9528558138</v>
      </c>
      <c r="N19" s="50">
        <f t="shared" si="7"/>
        <v>2670650.9528558138</v>
      </c>
      <c r="O19" s="50">
        <f t="shared" si="7"/>
        <v>2670650.9528558138</v>
      </c>
      <c r="P19" s="50">
        <f t="shared" si="7"/>
        <v>2670650.9528558138</v>
      </c>
      <c r="Q19" s="50">
        <f t="shared" si="7"/>
        <v>2670650.9528558138</v>
      </c>
      <c r="R19" s="50">
        <f t="shared" si="7"/>
        <v>2670650.9528558138</v>
      </c>
      <c r="S19" s="50">
        <f t="shared" si="7"/>
        <v>2670650.9528558138</v>
      </c>
      <c r="T19" s="50">
        <f t="shared" si="7"/>
        <v>2670650.9528558138</v>
      </c>
      <c r="U19" s="50">
        <f t="shared" si="7"/>
        <v>2670650.9528558138</v>
      </c>
      <c r="V19" s="50">
        <f t="shared" si="7"/>
        <v>2670650.9528558138</v>
      </c>
      <c r="W19" s="50">
        <f t="shared" si="7"/>
        <v>2670650.9528558138</v>
      </c>
      <c r="X19" s="50">
        <f t="shared" si="7"/>
        <v>2670650.9528558138</v>
      </c>
      <c r="Y19" s="50">
        <f t="shared" si="7"/>
        <v>2670650.9528558138</v>
      </c>
      <c r="Z19" s="50">
        <f t="shared" si="7"/>
        <v>2670650.9528558138</v>
      </c>
      <c r="AA19" s="50">
        <f t="shared" si="7"/>
        <v>2670650.9528558138</v>
      </c>
      <c r="AB19" s="50">
        <f t="shared" si="7"/>
        <v>2670650.9528558138</v>
      </c>
      <c r="AC19" s="50">
        <f t="shared" si="7"/>
        <v>2670650.9528558138</v>
      </c>
    </row>
    <row r="21" spans="2:29" x14ac:dyDescent="0.25">
      <c r="B21" s="197" t="s">
        <v>139</v>
      </c>
      <c r="C21" s="51" t="s">
        <v>140</v>
      </c>
      <c r="D21" s="52"/>
      <c r="E21" s="115">
        <f>+D4*50%</f>
        <v>4069098.25</v>
      </c>
      <c r="F21" s="52">
        <f>+E21</f>
        <v>4069098.25</v>
      </c>
      <c r="G21" s="52">
        <f t="shared" ref="G21:S21" si="8">+F21</f>
        <v>4069098.25</v>
      </c>
      <c r="H21" s="52">
        <f t="shared" si="8"/>
        <v>4069098.25</v>
      </c>
      <c r="I21" s="52">
        <f t="shared" si="8"/>
        <v>4069098.25</v>
      </c>
      <c r="J21" s="52">
        <f t="shared" si="8"/>
        <v>4069098.25</v>
      </c>
      <c r="K21" s="52">
        <f t="shared" si="8"/>
        <v>4069098.25</v>
      </c>
      <c r="L21" s="52">
        <f t="shared" si="8"/>
        <v>4069098.25</v>
      </c>
      <c r="M21" s="52">
        <f t="shared" si="8"/>
        <v>4069098.25</v>
      </c>
      <c r="N21" s="52">
        <f t="shared" si="8"/>
        <v>4069098.25</v>
      </c>
      <c r="O21" s="52">
        <f t="shared" si="8"/>
        <v>4069098.25</v>
      </c>
      <c r="P21" s="52">
        <f t="shared" si="8"/>
        <v>4069098.25</v>
      </c>
      <c r="Q21" s="52">
        <f t="shared" si="8"/>
        <v>4069098.25</v>
      </c>
      <c r="R21" s="52">
        <f t="shared" si="8"/>
        <v>4069098.25</v>
      </c>
      <c r="S21" s="52">
        <f t="shared" si="8"/>
        <v>4069098.25</v>
      </c>
      <c r="T21" s="52"/>
      <c r="U21" s="52"/>
      <c r="V21" s="52"/>
      <c r="W21" s="52"/>
      <c r="X21" s="52"/>
      <c r="Y21" s="52"/>
      <c r="Z21" s="52"/>
      <c r="AA21" s="52"/>
      <c r="AB21" s="52"/>
      <c r="AC21" s="52"/>
    </row>
    <row r="22" spans="2:29" x14ac:dyDescent="0.25">
      <c r="B22" s="197"/>
      <c r="C22" s="51" t="s">
        <v>141</v>
      </c>
      <c r="D22" s="52"/>
      <c r="E22" s="115">
        <f>+D4*33.33%</f>
        <v>2712460.8934499999</v>
      </c>
      <c r="F22" s="52">
        <f>+E22</f>
        <v>2712460.8934499999</v>
      </c>
      <c r="G22" s="52">
        <f>+F22</f>
        <v>2712460.8934499999</v>
      </c>
      <c r="H22" s="52"/>
      <c r="I22" s="52"/>
      <c r="J22" s="52"/>
      <c r="K22" s="52"/>
      <c r="L22" s="52"/>
      <c r="M22" s="52"/>
      <c r="N22" s="52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2:29" x14ac:dyDescent="0.25">
      <c r="B23" s="197"/>
      <c r="C23" s="51" t="s">
        <v>142</v>
      </c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2:29" x14ac:dyDescent="0.25">
      <c r="B24" s="197"/>
      <c r="C24" s="51" t="s">
        <v>143</v>
      </c>
      <c r="D24" s="52"/>
      <c r="E24" s="52">
        <f>+E21+E22</f>
        <v>6781559.1434499994</v>
      </c>
      <c r="F24" s="52">
        <f t="shared" ref="F24:AC24" si="9">+F21+F22</f>
        <v>6781559.1434499994</v>
      </c>
      <c r="G24" s="52">
        <f t="shared" si="9"/>
        <v>6781559.1434499994</v>
      </c>
      <c r="H24" s="52">
        <f t="shared" si="9"/>
        <v>4069098.25</v>
      </c>
      <c r="I24" s="52">
        <f t="shared" si="9"/>
        <v>4069098.25</v>
      </c>
      <c r="J24" s="52">
        <f t="shared" si="9"/>
        <v>4069098.25</v>
      </c>
      <c r="K24" s="52">
        <f t="shared" si="9"/>
        <v>4069098.25</v>
      </c>
      <c r="L24" s="52">
        <f t="shared" si="9"/>
        <v>4069098.25</v>
      </c>
      <c r="M24" s="52">
        <f t="shared" si="9"/>
        <v>4069098.25</v>
      </c>
      <c r="N24" s="52">
        <f t="shared" si="9"/>
        <v>4069098.25</v>
      </c>
      <c r="O24" s="52">
        <f t="shared" si="9"/>
        <v>4069098.25</v>
      </c>
      <c r="P24" s="52">
        <f t="shared" si="9"/>
        <v>4069098.25</v>
      </c>
      <c r="Q24" s="52">
        <f t="shared" si="9"/>
        <v>4069098.25</v>
      </c>
      <c r="R24" s="52">
        <f t="shared" si="9"/>
        <v>4069098.25</v>
      </c>
      <c r="S24" s="52">
        <f t="shared" si="9"/>
        <v>4069098.25</v>
      </c>
      <c r="T24" s="52">
        <f t="shared" si="9"/>
        <v>0</v>
      </c>
      <c r="U24" s="52">
        <f t="shared" si="9"/>
        <v>0</v>
      </c>
      <c r="V24" s="52">
        <f t="shared" si="9"/>
        <v>0</v>
      </c>
      <c r="W24" s="52">
        <f t="shared" si="9"/>
        <v>0</v>
      </c>
      <c r="X24" s="52">
        <f t="shared" si="9"/>
        <v>0</v>
      </c>
      <c r="Y24" s="52">
        <f t="shared" si="9"/>
        <v>0</v>
      </c>
      <c r="Z24" s="52">
        <f t="shared" si="9"/>
        <v>0</v>
      </c>
      <c r="AA24" s="52">
        <f t="shared" si="9"/>
        <v>0</v>
      </c>
      <c r="AB24" s="52">
        <f t="shared" si="9"/>
        <v>0</v>
      </c>
      <c r="AC24" s="52">
        <f t="shared" si="9"/>
        <v>0</v>
      </c>
    </row>
    <row r="25" spans="2:29" x14ac:dyDescent="0.25">
      <c r="B25" s="197"/>
      <c r="C25" s="53" t="s">
        <v>144</v>
      </c>
      <c r="D25" s="52"/>
      <c r="E25" s="54">
        <f>+E24</f>
        <v>6781559.1434499994</v>
      </c>
      <c r="F25" s="54">
        <f t="shared" ref="F25:AC25" si="10">+F24</f>
        <v>6781559.1434499994</v>
      </c>
      <c r="G25" s="54">
        <f t="shared" si="10"/>
        <v>6781559.1434499994</v>
      </c>
      <c r="H25" s="54">
        <f t="shared" si="10"/>
        <v>4069098.25</v>
      </c>
      <c r="I25" s="54">
        <f t="shared" si="10"/>
        <v>4069098.25</v>
      </c>
      <c r="J25" s="54">
        <f t="shared" si="10"/>
        <v>4069098.25</v>
      </c>
      <c r="K25" s="54">
        <f t="shared" si="10"/>
        <v>4069098.25</v>
      </c>
      <c r="L25" s="54">
        <f t="shared" si="10"/>
        <v>4069098.25</v>
      </c>
      <c r="M25" s="54">
        <f t="shared" si="10"/>
        <v>4069098.25</v>
      </c>
      <c r="N25" s="54">
        <f t="shared" si="10"/>
        <v>4069098.25</v>
      </c>
      <c r="O25" s="54">
        <f t="shared" si="10"/>
        <v>4069098.25</v>
      </c>
      <c r="P25" s="54">
        <f t="shared" si="10"/>
        <v>4069098.25</v>
      </c>
      <c r="Q25" s="54">
        <f t="shared" si="10"/>
        <v>4069098.25</v>
      </c>
      <c r="R25" s="54">
        <f t="shared" si="10"/>
        <v>4069098.25</v>
      </c>
      <c r="S25" s="54">
        <f t="shared" si="10"/>
        <v>4069098.25</v>
      </c>
      <c r="T25" s="54">
        <f t="shared" si="10"/>
        <v>0</v>
      </c>
      <c r="U25" s="54">
        <f t="shared" si="10"/>
        <v>0</v>
      </c>
      <c r="V25" s="54">
        <f t="shared" si="10"/>
        <v>0</v>
      </c>
      <c r="W25" s="54">
        <f t="shared" si="10"/>
        <v>0</v>
      </c>
      <c r="X25" s="54">
        <f t="shared" si="10"/>
        <v>0</v>
      </c>
      <c r="Y25" s="54">
        <f t="shared" si="10"/>
        <v>0</v>
      </c>
      <c r="Z25" s="54">
        <f t="shared" si="10"/>
        <v>0</v>
      </c>
      <c r="AA25" s="54">
        <f t="shared" si="10"/>
        <v>0</v>
      </c>
      <c r="AB25" s="54">
        <f t="shared" si="10"/>
        <v>0</v>
      </c>
      <c r="AC25" s="54">
        <f t="shared" si="10"/>
        <v>0</v>
      </c>
    </row>
    <row r="26" spans="2:29" ht="14.25" customHeight="1" x14ac:dyDescent="0.25"/>
    <row r="27" spans="2:29" x14ac:dyDescent="0.25">
      <c r="B27" s="198" t="s">
        <v>145</v>
      </c>
      <c r="C27" s="198"/>
      <c r="D27" s="44">
        <f>+D4*-1</f>
        <v>-8138196.5</v>
      </c>
      <c r="E27" s="44">
        <f>+E7-(E19+E25)</f>
        <v>-5598009.7244499978</v>
      </c>
      <c r="F27" s="44">
        <f>+F7-(F19+F25)</f>
        <v>-5405360.2875558138</v>
      </c>
      <c r="G27" s="44">
        <f>+G7-(G19+G25)</f>
        <v>-5203017.7971183127</v>
      </c>
      <c r="H27" s="44">
        <f>+H7-(H19+H25)</f>
        <v>-2278097.2887089383</v>
      </c>
      <c r="I27" s="44">
        <f>+I7-(I19+I25)</f>
        <v>-2055014.6930015944</v>
      </c>
      <c r="J27" s="44">
        <f t="shared" ref="J27:AC27" si="11">+J7-(J19+J25)</f>
        <v>-1820777.9675088832</v>
      </c>
      <c r="K27" s="44">
        <f t="shared" si="11"/>
        <v>-1574829.4057415361</v>
      </c>
      <c r="L27" s="44">
        <f t="shared" si="11"/>
        <v>-1316583.4158858219</v>
      </c>
      <c r="M27" s="44">
        <f t="shared" si="11"/>
        <v>-1045425.1265373221</v>
      </c>
      <c r="N27" s="44">
        <f t="shared" si="11"/>
        <v>-760708.92272139806</v>
      </c>
      <c r="O27" s="44">
        <f t="shared" si="11"/>
        <v>-461756.90871467628</v>
      </c>
      <c r="P27" s="44">
        <f t="shared" si="11"/>
        <v>-147857.29400761984</v>
      </c>
      <c r="Q27" s="44">
        <f t="shared" si="11"/>
        <v>181737.30143479072</v>
      </c>
      <c r="R27" s="44">
        <f t="shared" si="11"/>
        <v>527811.62664932199</v>
      </c>
      <c r="S27" s="44">
        <f t="shared" si="11"/>
        <v>891189.66812457889</v>
      </c>
      <c r="T27" s="44">
        <f t="shared" si="11"/>
        <v>5341834.8616735991</v>
      </c>
      <c r="U27" s="44">
        <f t="shared" si="11"/>
        <v>5742459.1524000708</v>
      </c>
      <c r="V27" s="44">
        <f t="shared" si="11"/>
        <v>6163114.6576628648</v>
      </c>
      <c r="W27" s="44">
        <f t="shared" si="11"/>
        <v>6604802.9381887987</v>
      </c>
      <c r="X27" s="44">
        <f t="shared" si="11"/>
        <v>7068575.6327410303</v>
      </c>
      <c r="Y27" s="44">
        <f t="shared" si="11"/>
        <v>7555536.962020874</v>
      </c>
      <c r="Z27" s="44">
        <f t="shared" si="11"/>
        <v>8066846.3577647079</v>
      </c>
      <c r="AA27" s="44">
        <f t="shared" si="11"/>
        <v>8603721.2232957352</v>
      </c>
      <c r="AB27" s="44">
        <f t="shared" si="11"/>
        <v>9167439.832103312</v>
      </c>
      <c r="AC27" s="44">
        <f t="shared" si="11"/>
        <v>9759344.37135127</v>
      </c>
    </row>
    <row r="28" spans="2:29" x14ac:dyDescent="0.25">
      <c r="B28" s="199" t="s">
        <v>146</v>
      </c>
      <c r="C28" s="199"/>
      <c r="D28" s="113">
        <f>1/(1+3%)^D3</f>
        <v>1</v>
      </c>
      <c r="E28" s="113">
        <f t="shared" ref="E28:AC28" si="12">1/(1+8%)^E3</f>
        <v>0.92592592592592582</v>
      </c>
      <c r="F28" s="113">
        <f t="shared" si="12"/>
        <v>0.85733882030178321</v>
      </c>
      <c r="G28" s="113">
        <f t="shared" si="12"/>
        <v>0.79383224102016958</v>
      </c>
      <c r="H28" s="113">
        <f t="shared" si="12"/>
        <v>0.73502985279645328</v>
      </c>
      <c r="I28" s="113">
        <f t="shared" si="12"/>
        <v>0.68058319703375303</v>
      </c>
      <c r="J28" s="113">
        <f t="shared" si="12"/>
        <v>0.63016962688310452</v>
      </c>
      <c r="K28" s="113">
        <f t="shared" si="12"/>
        <v>0.58349039526213387</v>
      </c>
      <c r="L28" s="113">
        <f t="shared" si="12"/>
        <v>0.54026888450197574</v>
      </c>
      <c r="M28" s="113">
        <f t="shared" si="12"/>
        <v>0.50024896713145905</v>
      </c>
      <c r="N28" s="113">
        <f t="shared" si="12"/>
        <v>0.46319348808468425</v>
      </c>
      <c r="O28" s="113">
        <f t="shared" si="12"/>
        <v>0.42888285933767062</v>
      </c>
      <c r="P28" s="113">
        <f t="shared" si="12"/>
        <v>0.39711375864599124</v>
      </c>
      <c r="Q28" s="113">
        <f t="shared" si="12"/>
        <v>0.36769792467221413</v>
      </c>
      <c r="R28" s="113">
        <f t="shared" si="12"/>
        <v>0.34046104136316119</v>
      </c>
      <c r="S28" s="113">
        <f t="shared" si="12"/>
        <v>0.31524170496588994</v>
      </c>
      <c r="T28" s="113">
        <f t="shared" si="12"/>
        <v>0.29189046756100923</v>
      </c>
      <c r="U28" s="113">
        <f t="shared" si="12"/>
        <v>0.27026895144537894</v>
      </c>
      <c r="V28" s="113">
        <f t="shared" si="12"/>
        <v>0.25024902911609154</v>
      </c>
      <c r="W28" s="113">
        <f t="shared" si="12"/>
        <v>0.23171206399638106</v>
      </c>
      <c r="X28" s="113">
        <f t="shared" si="12"/>
        <v>0.21454820740405653</v>
      </c>
      <c r="Y28" s="113">
        <f t="shared" si="12"/>
        <v>0.19865574759634863</v>
      </c>
      <c r="Z28" s="113">
        <f t="shared" si="12"/>
        <v>0.18394050703365611</v>
      </c>
      <c r="AA28" s="113">
        <f t="shared" si="12"/>
        <v>0.17031528429042234</v>
      </c>
      <c r="AB28" s="113">
        <f t="shared" si="12"/>
        <v>0.1576993373059466</v>
      </c>
      <c r="AC28" s="113">
        <f t="shared" si="12"/>
        <v>0.1460179049129135</v>
      </c>
    </row>
    <row r="29" spans="2:29" x14ac:dyDescent="0.25">
      <c r="B29" s="199" t="s">
        <v>147</v>
      </c>
      <c r="C29" s="199"/>
      <c r="D29" s="44">
        <f>+D28*D27</f>
        <v>-8138196.5</v>
      </c>
      <c r="E29" s="44">
        <f>+E28*E27</f>
        <v>-5183342.3374537006</v>
      </c>
      <c r="F29" s="44">
        <f>+F28*F27</f>
        <v>-4634225.2122392086</v>
      </c>
      <c r="G29" s="44">
        <f>+G28*G27</f>
        <v>-4130323.2779542562</v>
      </c>
      <c r="H29" s="44">
        <f>+H28*H27</f>
        <v>-1674469.5147757302</v>
      </c>
      <c r="I29" s="44">
        <f t="shared" ref="I29:R29" si="13">+I28*I27</f>
        <v>-1398608.4697143617</v>
      </c>
      <c r="J29" s="44">
        <f t="shared" si="13"/>
        <v>-1147398.9724220503</v>
      </c>
      <c r="K29" s="44">
        <f t="shared" si="13"/>
        <v>-918897.83242656023</v>
      </c>
      <c r="L29" s="44">
        <f t="shared" si="13"/>
        <v>-711309.0534544338</v>
      </c>
      <c r="M29" s="44">
        <f t="shared" si="13"/>
        <v>-522972.83976357023</v>
      </c>
      <c r="N29" s="44">
        <f t="shared" si="13"/>
        <v>-352355.4193324669</v>
      </c>
      <c r="O29" s="44">
        <f t="shared" si="13"/>
        <v>-198039.62332847412</v>
      </c>
      <c r="P29" s="44">
        <f t="shared" si="13"/>
        <v>-58716.165766591315</v>
      </c>
      <c r="Q29" s="44">
        <f t="shared" si="13"/>
        <v>66824.428573101148</v>
      </c>
      <c r="R29" s="44">
        <f t="shared" si="13"/>
        <v>179699.29605261219</v>
      </c>
      <c r="S29" s="44">
        <f>+S28*S27</f>
        <v>280940.15042757784</v>
      </c>
      <c r="T29" s="44">
        <f t="shared" ref="T29" si="14">+T28*T27</f>
        <v>1559230.6754076059</v>
      </c>
      <c r="U29" s="44">
        <f t="shared" ref="U29" si="15">+U28*U27</f>
        <v>1552008.4138370866</v>
      </c>
      <c r="V29" s="44">
        <f t="shared" ref="V29" si="16">+V28*V27</f>
        <v>1542313.4594112849</v>
      </c>
      <c r="W29" s="44">
        <f t="shared" ref="W29" si="17">+W28*W27</f>
        <v>1530412.5210970885</v>
      </c>
      <c r="X29" s="44">
        <f t="shared" ref="X29" si="18">+X28*X27</f>
        <v>1516550.2309045827</v>
      </c>
      <c r="Y29" s="44">
        <f t="shared" ref="Y29" si="19">+Y28*Y27</f>
        <v>1500950.8436821015</v>
      </c>
      <c r="Z29" s="44">
        <f t="shared" ref="Z29" si="20">+Z28*Z27</f>
        <v>1483819.8092098425</v>
      </c>
      <c r="AA29" s="44">
        <f t="shared" ref="AA29" si="21">+AA28*AA27</f>
        <v>1465345.2261011533</v>
      </c>
      <c r="AB29" s="44">
        <f t="shared" ref="AB29" si="22">+AB28*AB27</f>
        <v>1445699.1863148306</v>
      </c>
      <c r="AC29" s="44">
        <f t="shared" ref="AC29" si="23">+AC28*AC27</f>
        <v>1425039.0184283473</v>
      </c>
    </row>
    <row r="32" spans="2:29" x14ac:dyDescent="0.25">
      <c r="C32" t="s">
        <v>148</v>
      </c>
      <c r="D32" s="5">
        <f>SUM(D27:AC27)</f>
        <v>39868779.253459036</v>
      </c>
    </row>
    <row r="33" spans="3:6" x14ac:dyDescent="0.25">
      <c r="C33" t="s">
        <v>149</v>
      </c>
      <c r="D33" s="81">
        <f>IRR(D27:AC27)</f>
        <v>4.2740933004753456E-2</v>
      </c>
    </row>
    <row r="35" spans="3:6" x14ac:dyDescent="0.25">
      <c r="C35" s="16" t="s">
        <v>150</v>
      </c>
      <c r="E35" t="s">
        <v>151</v>
      </c>
      <c r="F35" t="s">
        <v>152</v>
      </c>
    </row>
    <row r="36" spans="3:6" x14ac:dyDescent="0.25">
      <c r="D36" s="95"/>
      <c r="E36" s="118">
        <v>2E-3</v>
      </c>
      <c r="F36" s="5">
        <f>+NPV(E36,$E$27:$AC$27)+$D$27</f>
        <v>36988300.321018621</v>
      </c>
    </row>
    <row r="37" spans="3:6" x14ac:dyDescent="0.25">
      <c r="C37" s="95" t="s">
        <v>153</v>
      </c>
      <c r="D37" s="95"/>
      <c r="E37" s="118">
        <v>5.0000000000000001E-3</v>
      </c>
      <c r="F37" s="5">
        <f t="shared" ref="F37:F44" si="24">+NPV(E37,$E$27:$AC$27)+$D$27</f>
        <v>32912940.584483132</v>
      </c>
    </row>
    <row r="38" spans="3:6" x14ac:dyDescent="0.25">
      <c r="D38" s="95"/>
      <c r="E38" s="118">
        <v>8.0000000000000002E-3</v>
      </c>
      <c r="F38" s="5">
        <f t="shared" si="24"/>
        <v>29113863.422601365</v>
      </c>
    </row>
    <row r="39" spans="3:6" x14ac:dyDescent="0.25">
      <c r="D39" s="95"/>
      <c r="E39" s="118">
        <v>1.0999999999999999E-2</v>
      </c>
      <c r="F39" s="5">
        <f t="shared" si="24"/>
        <v>25572005.09911225</v>
      </c>
    </row>
    <row r="40" spans="3:6" x14ac:dyDescent="0.25">
      <c r="D40" s="95"/>
      <c r="E40" s="118">
        <v>1.4E-2</v>
      </c>
      <c r="F40" s="5">
        <f t="shared" si="24"/>
        <v>22269673.465008892</v>
      </c>
    </row>
    <row r="41" spans="3:6" x14ac:dyDescent="0.25">
      <c r="D41" s="95"/>
      <c r="E41" s="118">
        <v>1.7000000000000001E-2</v>
      </c>
      <c r="F41" s="5">
        <f t="shared" si="24"/>
        <v>19190444.874803428</v>
      </c>
    </row>
    <row r="42" spans="3:6" x14ac:dyDescent="0.25">
      <c r="D42" s="95"/>
      <c r="E42" s="118">
        <v>0.02</v>
      </c>
      <c r="F42" s="5">
        <f t="shared" si="24"/>
        <v>16319069.180940107</v>
      </c>
    </row>
    <row r="43" spans="3:6" x14ac:dyDescent="0.25">
      <c r="D43" s="95"/>
      <c r="E43" s="118">
        <v>2.3E-2</v>
      </c>
      <c r="F43" s="5">
        <f t="shared" si="24"/>
        <v>13641382.147901632</v>
      </c>
    </row>
    <row r="44" spans="3:6" x14ac:dyDescent="0.25">
      <c r="D44" s="95"/>
      <c r="E44" s="118">
        <v>2.5999999999999999E-2</v>
      </c>
      <c r="F44" s="5">
        <f t="shared" si="24"/>
        <v>11144224.683231551</v>
      </c>
    </row>
    <row r="45" spans="3:6" x14ac:dyDescent="0.25">
      <c r="D45" s="95"/>
      <c r="E45" s="118">
        <v>2.9000000000000001E-2</v>
      </c>
      <c r="F45" s="5">
        <f t="shared" ref="F45:F66" si="25">+NPV(E45,$E$27:$AC$27)+$D$27</f>
        <v>8815368.3335300758</v>
      </c>
    </row>
    <row r="46" spans="3:6" x14ac:dyDescent="0.25">
      <c r="D46" s="95"/>
      <c r="E46" s="118">
        <v>3.2000000000000001E-2</v>
      </c>
      <c r="F46" s="5">
        <f t="shared" si="25"/>
        <v>6643446.5398469251</v>
      </c>
    </row>
    <row r="47" spans="3:6" x14ac:dyDescent="0.25">
      <c r="C47" s="7"/>
      <c r="D47" s="95"/>
      <c r="E47" s="118">
        <v>3.5000000000000003E-2</v>
      </c>
      <c r="F47" s="5">
        <f t="shared" si="25"/>
        <v>4617891.1892533936</v>
      </c>
    </row>
    <row r="48" spans="3:6" x14ac:dyDescent="0.25">
      <c r="D48" s="95"/>
      <c r="E48" s="118">
        <v>3.7999999999999999E-2</v>
      </c>
      <c r="F48" s="5">
        <f t="shared" si="25"/>
        <v>2728874.0380351041</v>
      </c>
    </row>
    <row r="49" spans="4:6" x14ac:dyDescent="0.25">
      <c r="D49" s="95"/>
      <c r="E49" s="118">
        <v>4.1000000000000002E-2</v>
      </c>
      <c r="F49" s="5">
        <f t="shared" si="25"/>
        <v>967252.61728638597</v>
      </c>
    </row>
    <row r="50" spans="4:6" x14ac:dyDescent="0.25">
      <c r="D50" s="95"/>
      <c r="E50" s="118">
        <v>4.3999999999999997E-2</v>
      </c>
      <c r="F50" s="5">
        <f t="shared" si="25"/>
        <v>-675479.73604033422</v>
      </c>
    </row>
    <row r="51" spans="4:6" x14ac:dyDescent="0.25">
      <c r="D51" s="95"/>
      <c r="E51" s="118">
        <v>4.7E-2</v>
      </c>
      <c r="F51" s="5">
        <f t="shared" si="25"/>
        <v>-2207240.0500579374</v>
      </c>
    </row>
    <row r="52" spans="4:6" x14ac:dyDescent="0.25">
      <c r="D52" s="95"/>
      <c r="E52" s="118">
        <v>0.05</v>
      </c>
      <c r="F52" s="5">
        <f t="shared" si="25"/>
        <v>-3635398.391294919</v>
      </c>
    </row>
    <row r="53" spans="4:6" x14ac:dyDescent="0.25">
      <c r="D53" s="95"/>
      <c r="E53" s="118">
        <v>5.2999999999999999E-2</v>
      </c>
      <c r="F53" s="5">
        <f t="shared" si="25"/>
        <v>-4966817.3162405863</v>
      </c>
    </row>
    <row r="54" spans="4:6" x14ac:dyDescent="0.25">
      <c r="D54" s="95"/>
      <c r="E54" s="118">
        <v>5.6000000000000001E-2</v>
      </c>
      <c r="F54" s="5">
        <f t="shared" si="25"/>
        <v>-6207888.3542816406</v>
      </c>
    </row>
    <row r="55" spans="4:6" x14ac:dyDescent="0.25">
      <c r="D55" s="95"/>
      <c r="E55" s="118">
        <v>5.8999999999999997E-2</v>
      </c>
      <c r="F55" s="5">
        <f t="shared" si="25"/>
        <v>-7364565.7545570964</v>
      </c>
    </row>
    <row r="56" spans="4:6" x14ac:dyDescent="0.25">
      <c r="D56" s="95"/>
      <c r="E56" s="118">
        <v>6.2E-2</v>
      </c>
      <c r="F56" s="5">
        <f t="shared" si="25"/>
        <v>-8442397.7103487775</v>
      </c>
    </row>
    <row r="57" spans="4:6" x14ac:dyDescent="0.25">
      <c r="D57" s="95"/>
      <c r="E57" s="118">
        <v>6.5000000000000002E-2</v>
      </c>
      <c r="F57" s="5">
        <f t="shared" si="25"/>
        <v>-9446555.2572977077</v>
      </c>
    </row>
    <row r="58" spans="4:6" x14ac:dyDescent="0.25">
      <c r="D58" s="95"/>
      <c r="E58" s="118">
        <v>6.8000000000000005E-2</v>
      </c>
      <c r="F58" s="5">
        <f t="shared" si="25"/>
        <v>-10381859.025876386</v>
      </c>
    </row>
    <row r="59" spans="4:6" x14ac:dyDescent="0.25">
      <c r="D59" s="95"/>
      <c r="E59" s="118">
        <v>7.0999999999999994E-2</v>
      </c>
      <c r="F59" s="5">
        <f t="shared" si="25"/>
        <v>-11252804.014005266</v>
      </c>
    </row>
    <row r="60" spans="4:6" x14ac:dyDescent="0.25">
      <c r="D60" s="95"/>
      <c r="E60" s="118">
        <v>7.3999999999999996E-2</v>
      </c>
      <c r="F60" s="5">
        <f t="shared" si="25"/>
        <v>-12063582.532383602</v>
      </c>
    </row>
    <row r="61" spans="4:6" x14ac:dyDescent="0.25">
      <c r="D61" s="95"/>
      <c r="E61" s="118">
        <v>7.6999999999999999E-2</v>
      </c>
      <c r="F61" s="5">
        <f t="shared" si="25"/>
        <v>-12818105.462886481</v>
      </c>
    </row>
    <row r="62" spans="4:6" x14ac:dyDescent="0.25">
      <c r="D62" s="95"/>
      <c r="E62" s="118">
        <v>0.08</v>
      </c>
      <c r="F62" s="5">
        <f t="shared" si="25"/>
        <v>-13520021.959184203</v>
      </c>
    </row>
    <row r="63" spans="4:6" x14ac:dyDescent="0.25">
      <c r="D63" s="95"/>
      <c r="E63" s="118">
        <v>8.3000000000000004E-2</v>
      </c>
      <c r="F63" s="5">
        <f t="shared" si="25"/>
        <v>-14172737.708461907</v>
      </c>
    </row>
    <row r="64" spans="4:6" x14ac:dyDescent="0.25">
      <c r="D64" s="95"/>
      <c r="E64" s="118">
        <v>8.5999999999999993E-2</v>
      </c>
      <c r="F64" s="5">
        <f t="shared" si="25"/>
        <v>-14779431.863695115</v>
      </c>
    </row>
    <row r="65" spans="4:6" x14ac:dyDescent="0.25">
      <c r="D65" s="95"/>
      <c r="E65" s="118">
        <v>8.8999999999999996E-2</v>
      </c>
      <c r="F65" s="5">
        <f t="shared" si="25"/>
        <v>-15343072.747281309</v>
      </c>
    </row>
    <row r="66" spans="4:6" x14ac:dyDescent="0.25">
      <c r="D66" s="95"/>
      <c r="E66" s="118">
        <v>9.1999999999999998E-2</v>
      </c>
      <c r="F66" s="5">
        <f t="shared" si="25"/>
        <v>-15866432.418888718</v>
      </c>
    </row>
    <row r="67" spans="4:6" x14ac:dyDescent="0.25">
      <c r="D67" s="95"/>
      <c r="E67" s="118">
        <v>9.5000000000000001E-2</v>
      </c>
      <c r="F67" s="5">
        <f t="shared" ref="F67:F77" si="26">+NPV(E67,$E$29:$AC$29)+$D$29</f>
        <v>-21320258.888519634</v>
      </c>
    </row>
    <row r="68" spans="4:6" x14ac:dyDescent="0.25">
      <c r="D68" s="95"/>
      <c r="E68" s="118">
        <v>9.8000000000000004E-2</v>
      </c>
      <c r="F68" s="5">
        <f t="shared" si="26"/>
        <v>-21329114.314345047</v>
      </c>
    </row>
    <row r="69" spans="4:6" x14ac:dyDescent="0.25">
      <c r="D69" s="95"/>
      <c r="E69" s="118">
        <v>0.10100000000000001</v>
      </c>
      <c r="F69" s="5">
        <f t="shared" si="26"/>
        <v>-21332440.286052607</v>
      </c>
    </row>
    <row r="70" spans="4:6" x14ac:dyDescent="0.25">
      <c r="D70" s="95"/>
      <c r="E70" s="118">
        <v>0.104</v>
      </c>
      <c r="F70" s="5">
        <f t="shared" si="26"/>
        <v>-21330632.122986455</v>
      </c>
    </row>
    <row r="71" spans="4:6" x14ac:dyDescent="0.25">
      <c r="D71" s="95"/>
      <c r="E71" s="118">
        <v>0.107</v>
      </c>
      <c r="F71" s="5">
        <f t="shared" si="26"/>
        <v>-21324059.102440942</v>
      </c>
    </row>
    <row r="72" spans="4:6" x14ac:dyDescent="0.25">
      <c r="D72" s="95"/>
      <c r="E72" s="118">
        <v>0.11</v>
      </c>
      <c r="F72" s="5">
        <f t="shared" si="26"/>
        <v>-21313066.206976295</v>
      </c>
    </row>
    <row r="73" spans="4:6" x14ac:dyDescent="0.25">
      <c r="D73" s="95"/>
      <c r="E73" s="118">
        <v>0.113</v>
      </c>
      <c r="F73" s="5">
        <f t="shared" si="26"/>
        <v>-21297975.750072449</v>
      </c>
    </row>
    <row r="74" spans="4:6" x14ac:dyDescent="0.25">
      <c r="D74" s="95"/>
      <c r="E74" s="118">
        <v>0.11600000000000001</v>
      </c>
      <c r="F74" s="5">
        <f t="shared" si="26"/>
        <v>-21279088.88894131</v>
      </c>
    </row>
    <row r="75" spans="4:6" x14ac:dyDescent="0.25">
      <c r="D75" s="95"/>
      <c r="E75" s="118">
        <v>0.11899999999999999</v>
      </c>
      <c r="F75" s="5">
        <f t="shared" si="26"/>
        <v>-21256687.03265167</v>
      </c>
    </row>
    <row r="76" spans="4:6" x14ac:dyDescent="0.25">
      <c r="D76" s="95"/>
      <c r="E76" s="118">
        <v>0.122</v>
      </c>
      <c r="F76" s="5">
        <f t="shared" si="26"/>
        <v>-21231033.153108645</v>
      </c>
    </row>
    <row r="77" spans="4:6" x14ac:dyDescent="0.25">
      <c r="D77" s="95"/>
      <c r="E77" s="118">
        <v>0.125</v>
      </c>
      <c r="F77" s="5">
        <f t="shared" si="26"/>
        <v>-21202373.005863413</v>
      </c>
    </row>
    <row r="78" spans="4:6" x14ac:dyDescent="0.25">
      <c r="D78" s="95"/>
    </row>
  </sheetData>
  <mergeCells count="7">
    <mergeCell ref="B2:C2"/>
    <mergeCell ref="B21:B25"/>
    <mergeCell ref="B27:C27"/>
    <mergeCell ref="B28:C28"/>
    <mergeCell ref="B29:C29"/>
    <mergeCell ref="B10:B19"/>
    <mergeCell ref="B5:B8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E76A29-F5A3-4B20-9047-4C9A41A2EC22}">
          <x14:formula1>
            <xm:f>'DATOS '!$J$3:$J$7</xm:f>
          </x14:formula1>
          <xm:sqref>B2:C2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53C18-4C40-4772-AF04-4A6544B81D1D}">
  <dimension ref="B2:F7"/>
  <sheetViews>
    <sheetView workbookViewId="0">
      <selection activeCell="B2" sqref="B2:F7"/>
    </sheetView>
  </sheetViews>
  <sheetFormatPr baseColWidth="10" defaultColWidth="9.140625" defaultRowHeight="15" x14ac:dyDescent="0.25"/>
  <cols>
    <col min="3" max="3" width="15.5703125" bestFit="1" customWidth="1"/>
    <col min="5" max="5" width="14.140625" bestFit="1" customWidth="1"/>
  </cols>
  <sheetData>
    <row r="2" spans="2:6" x14ac:dyDescent="0.25">
      <c r="B2" s="1" t="s">
        <v>154</v>
      </c>
      <c r="C2" s="1" t="s">
        <v>47</v>
      </c>
      <c r="D2" s="1" t="s">
        <v>155</v>
      </c>
      <c r="E2" s="1" t="s">
        <v>156</v>
      </c>
      <c r="F2" s="1" t="s">
        <v>150</v>
      </c>
    </row>
    <row r="3" spans="2:6" x14ac:dyDescent="0.25">
      <c r="B3" s="1">
        <v>1</v>
      </c>
      <c r="C3" s="1" t="s">
        <v>13</v>
      </c>
      <c r="D3" s="11">
        <v>2.5700000000000001E-2</v>
      </c>
      <c r="E3" s="130">
        <v>42781</v>
      </c>
      <c r="F3" s="1">
        <v>15</v>
      </c>
    </row>
    <row r="4" spans="2:6" x14ac:dyDescent="0.25">
      <c r="B4" s="1">
        <v>2</v>
      </c>
      <c r="C4" s="1" t="s">
        <v>15</v>
      </c>
      <c r="D4" s="11">
        <v>3.5099999999999999E-2</v>
      </c>
      <c r="E4" s="130">
        <v>86863</v>
      </c>
      <c r="F4" s="1">
        <v>14</v>
      </c>
    </row>
    <row r="5" spans="2:6" x14ac:dyDescent="0.25">
      <c r="B5" s="1">
        <v>3</v>
      </c>
      <c r="C5" s="1" t="s">
        <v>17</v>
      </c>
      <c r="D5" s="11">
        <v>4.53E-2</v>
      </c>
      <c r="E5" s="130">
        <v>160109</v>
      </c>
      <c r="F5" s="1">
        <v>13</v>
      </c>
    </row>
    <row r="6" spans="2:6" x14ac:dyDescent="0.25">
      <c r="B6" s="1">
        <v>4</v>
      </c>
      <c r="C6" s="1" t="s">
        <v>19</v>
      </c>
      <c r="D6" s="11">
        <v>4.8399999999999999E-2</v>
      </c>
      <c r="E6" s="130">
        <v>43787</v>
      </c>
      <c r="F6" s="1">
        <v>12</v>
      </c>
    </row>
    <row r="7" spans="2:6" x14ac:dyDescent="0.25">
      <c r="B7" s="1">
        <v>5</v>
      </c>
      <c r="C7" s="1" t="s">
        <v>21</v>
      </c>
      <c r="D7" s="11">
        <v>3.1199999999999999E-2</v>
      </c>
      <c r="E7" s="130">
        <v>32381</v>
      </c>
      <c r="F7" s="1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3F40-2BE2-4D49-B5F3-F076C26655C0}">
  <dimension ref="B1:AC56"/>
  <sheetViews>
    <sheetView showGridLines="0" topLeftCell="A10" workbookViewId="0">
      <selection activeCell="E3" sqref="E3"/>
    </sheetView>
  </sheetViews>
  <sheetFormatPr baseColWidth="10" defaultColWidth="11.42578125" defaultRowHeight="15" x14ac:dyDescent="0.25"/>
  <cols>
    <col min="1" max="1" width="5.28515625" customWidth="1"/>
    <col min="3" max="3" width="31.140625" bestFit="1" customWidth="1"/>
    <col min="4" max="4" width="17.7109375" bestFit="1" customWidth="1"/>
    <col min="5" max="6" width="12.28515625" bestFit="1" customWidth="1"/>
    <col min="7" max="7" width="19.28515625" bestFit="1" customWidth="1"/>
    <col min="8" max="8" width="12.28515625" bestFit="1" customWidth="1"/>
    <col min="9" max="9" width="14.7109375" bestFit="1" customWidth="1"/>
    <col min="10" max="12" width="12.28515625" bestFit="1" customWidth="1"/>
    <col min="13" max="13" width="18.5703125" customWidth="1"/>
    <col min="14" max="14" width="15.140625" bestFit="1" customWidth="1"/>
  </cols>
  <sheetData>
    <row r="1" spans="2:29" x14ac:dyDescent="0.25">
      <c r="D1" s="12"/>
    </row>
    <row r="2" spans="2:29" x14ac:dyDescent="0.25">
      <c r="B2" s="80"/>
      <c r="C2" s="80" t="s">
        <v>126</v>
      </c>
      <c r="D2" s="80">
        <v>0</v>
      </c>
      <c r="E2" s="80">
        <v>1</v>
      </c>
      <c r="F2" s="80">
        <v>2</v>
      </c>
      <c r="G2" s="80">
        <v>3</v>
      </c>
      <c r="H2" s="80">
        <v>4</v>
      </c>
      <c r="I2" s="80">
        <v>5</v>
      </c>
      <c r="J2" s="80">
        <v>6</v>
      </c>
      <c r="K2" s="80">
        <v>7</v>
      </c>
      <c r="L2" s="80">
        <v>8</v>
      </c>
      <c r="M2" s="80">
        <v>9</v>
      </c>
      <c r="N2" s="80">
        <v>10</v>
      </c>
      <c r="O2" s="80">
        <v>11</v>
      </c>
      <c r="P2" s="80">
        <v>12</v>
      </c>
      <c r="Q2" s="80">
        <v>13</v>
      </c>
      <c r="R2" s="80">
        <v>14</v>
      </c>
      <c r="S2" s="80">
        <v>15</v>
      </c>
      <c r="T2" s="80">
        <v>16</v>
      </c>
      <c r="U2" s="80">
        <v>17</v>
      </c>
      <c r="V2" s="80">
        <v>18</v>
      </c>
      <c r="W2" s="80">
        <v>19</v>
      </c>
      <c r="X2" s="80">
        <v>20</v>
      </c>
      <c r="Y2" s="80">
        <v>21</v>
      </c>
      <c r="Z2" s="80">
        <v>22</v>
      </c>
      <c r="AA2" s="80">
        <v>23</v>
      </c>
      <c r="AB2" s="80">
        <v>24</v>
      </c>
      <c r="AC2" s="80">
        <v>25</v>
      </c>
    </row>
    <row r="3" spans="2:29" x14ac:dyDescent="0.25">
      <c r="B3" s="203" t="s">
        <v>157</v>
      </c>
      <c r="C3" s="40" t="s">
        <v>158</v>
      </c>
      <c r="D3" s="40">
        <v>0</v>
      </c>
      <c r="E3" s="42" t="e">
        <f>+Capacidad!#REF!</f>
        <v>#REF!</v>
      </c>
      <c r="F3" s="42" t="e">
        <f>+E3</f>
        <v>#REF!</v>
      </c>
      <c r="G3" s="42" t="e">
        <f t="shared" ref="G3:AC3" si="0">+F3</f>
        <v>#REF!</v>
      </c>
      <c r="H3" s="42" t="e">
        <f t="shared" si="0"/>
        <v>#REF!</v>
      </c>
      <c r="I3" s="42" t="e">
        <f t="shared" si="0"/>
        <v>#REF!</v>
      </c>
      <c r="J3" s="42" t="e">
        <f t="shared" si="0"/>
        <v>#REF!</v>
      </c>
      <c r="K3" s="42" t="e">
        <f t="shared" si="0"/>
        <v>#REF!</v>
      </c>
      <c r="L3" s="42" t="e">
        <f t="shared" si="0"/>
        <v>#REF!</v>
      </c>
      <c r="M3" s="42" t="e">
        <f t="shared" si="0"/>
        <v>#REF!</v>
      </c>
      <c r="N3" s="42" t="e">
        <f t="shared" si="0"/>
        <v>#REF!</v>
      </c>
      <c r="O3" s="42" t="e">
        <f t="shared" si="0"/>
        <v>#REF!</v>
      </c>
      <c r="P3" s="42" t="e">
        <f t="shared" si="0"/>
        <v>#REF!</v>
      </c>
      <c r="Q3" s="42" t="e">
        <f t="shared" si="0"/>
        <v>#REF!</v>
      </c>
      <c r="R3" s="42" t="e">
        <f t="shared" si="0"/>
        <v>#REF!</v>
      </c>
      <c r="S3" s="42" t="e">
        <f t="shared" si="0"/>
        <v>#REF!</v>
      </c>
      <c r="T3" s="42" t="e">
        <f t="shared" si="0"/>
        <v>#REF!</v>
      </c>
      <c r="U3" s="42" t="e">
        <f t="shared" si="0"/>
        <v>#REF!</v>
      </c>
      <c r="V3" s="42" t="e">
        <f t="shared" si="0"/>
        <v>#REF!</v>
      </c>
      <c r="W3" s="42" t="e">
        <f t="shared" si="0"/>
        <v>#REF!</v>
      </c>
      <c r="X3" s="42" t="e">
        <f t="shared" si="0"/>
        <v>#REF!</v>
      </c>
      <c r="Y3" s="42" t="e">
        <f t="shared" si="0"/>
        <v>#REF!</v>
      </c>
      <c r="Z3" s="42" t="e">
        <f t="shared" si="0"/>
        <v>#REF!</v>
      </c>
      <c r="AA3" s="42" t="e">
        <f t="shared" si="0"/>
        <v>#REF!</v>
      </c>
      <c r="AB3" s="42" t="e">
        <f t="shared" si="0"/>
        <v>#REF!</v>
      </c>
      <c r="AC3" s="42" t="e">
        <f t="shared" si="0"/>
        <v>#REF!</v>
      </c>
    </row>
    <row r="4" spans="2:29" x14ac:dyDescent="0.25">
      <c r="B4" s="203"/>
      <c r="C4" s="40" t="s">
        <v>129</v>
      </c>
      <c r="D4" s="43">
        <f>+LCOH!O38</f>
        <v>9.6320478523290287</v>
      </c>
      <c r="E4" s="43">
        <f>+D4*1.05</f>
        <v>10.113650244945481</v>
      </c>
      <c r="F4" s="43">
        <f t="shared" ref="F4:AC4" si="1">+E4*1.05</f>
        <v>10.619332757192755</v>
      </c>
      <c r="G4" s="43">
        <f t="shared" si="1"/>
        <v>11.150299395052393</v>
      </c>
      <c r="H4" s="43">
        <f t="shared" si="1"/>
        <v>11.707814364805014</v>
      </c>
      <c r="I4" s="43">
        <f t="shared" si="1"/>
        <v>12.293205083045265</v>
      </c>
      <c r="J4" s="43">
        <f t="shared" si="1"/>
        <v>12.90786533719753</v>
      </c>
      <c r="K4" s="43">
        <f t="shared" si="1"/>
        <v>13.553258604057406</v>
      </c>
      <c r="L4" s="43">
        <f t="shared" si="1"/>
        <v>14.230921534260277</v>
      </c>
      <c r="M4" s="43">
        <f t="shared" si="1"/>
        <v>14.942467610973292</v>
      </c>
      <c r="N4" s="43">
        <f t="shared" si="1"/>
        <v>15.689590991521957</v>
      </c>
      <c r="O4" s="43">
        <f t="shared" si="1"/>
        <v>16.474070541098055</v>
      </c>
      <c r="P4" s="43">
        <f t="shared" si="1"/>
        <v>17.297774068152957</v>
      </c>
      <c r="Q4" s="43">
        <f t="shared" si="1"/>
        <v>18.162662771560605</v>
      </c>
      <c r="R4" s="43">
        <f t="shared" si="1"/>
        <v>19.070795910138635</v>
      </c>
      <c r="S4" s="43">
        <f t="shared" si="1"/>
        <v>20.024335705645569</v>
      </c>
      <c r="T4" s="43">
        <f t="shared" si="1"/>
        <v>21.025552490927847</v>
      </c>
      <c r="U4" s="43">
        <f t="shared" si="1"/>
        <v>22.076830115474241</v>
      </c>
      <c r="V4" s="43">
        <f t="shared" si="1"/>
        <v>23.180671621247953</v>
      </c>
      <c r="W4" s="43">
        <f t="shared" si="1"/>
        <v>24.339705202310352</v>
      </c>
      <c r="X4" s="43">
        <f t="shared" si="1"/>
        <v>25.55669046242587</v>
      </c>
      <c r="Y4" s="43">
        <f t="shared" si="1"/>
        <v>26.834524985547166</v>
      </c>
      <c r="Z4" s="43">
        <f t="shared" si="1"/>
        <v>28.176251234824527</v>
      </c>
      <c r="AA4" s="43">
        <f t="shared" si="1"/>
        <v>29.585063796565755</v>
      </c>
      <c r="AB4" s="43">
        <f t="shared" si="1"/>
        <v>31.064316986394044</v>
      </c>
      <c r="AC4" s="43">
        <f t="shared" si="1"/>
        <v>32.617532835713746</v>
      </c>
    </row>
    <row r="5" spans="2:29" x14ac:dyDescent="0.25">
      <c r="B5" s="203"/>
      <c r="C5" s="40" t="s">
        <v>159</v>
      </c>
      <c r="D5" s="44">
        <f>+D4*D3</f>
        <v>0</v>
      </c>
      <c r="E5" s="44" t="e">
        <f>+E4*E3</f>
        <v>#REF!</v>
      </c>
      <c r="F5" s="44" t="e">
        <f>+F4*F3</f>
        <v>#REF!</v>
      </c>
      <c r="G5" s="44" t="e">
        <f t="shared" ref="G5:M5" si="2">+G4*G3</f>
        <v>#REF!</v>
      </c>
      <c r="H5" s="44" t="e">
        <f t="shared" si="2"/>
        <v>#REF!</v>
      </c>
      <c r="I5" s="44" t="e">
        <f t="shared" si="2"/>
        <v>#REF!</v>
      </c>
      <c r="J5" s="44" t="e">
        <f t="shared" si="2"/>
        <v>#REF!</v>
      </c>
      <c r="K5" s="44" t="e">
        <f t="shared" si="2"/>
        <v>#REF!</v>
      </c>
      <c r="L5" s="44" t="e">
        <f t="shared" si="2"/>
        <v>#REF!</v>
      </c>
      <c r="M5" s="44" t="e">
        <f t="shared" si="2"/>
        <v>#REF!</v>
      </c>
      <c r="N5" s="44" t="e">
        <f>+N4*N3</f>
        <v>#REF!</v>
      </c>
      <c r="O5" s="44" t="e">
        <f t="shared" ref="O5:AC5" si="3">+O4*O3</f>
        <v>#REF!</v>
      </c>
      <c r="P5" s="44" t="e">
        <f t="shared" si="3"/>
        <v>#REF!</v>
      </c>
      <c r="Q5" s="44" t="e">
        <f t="shared" si="3"/>
        <v>#REF!</v>
      </c>
      <c r="R5" s="44" t="e">
        <f t="shared" si="3"/>
        <v>#REF!</v>
      </c>
      <c r="S5" s="44" t="e">
        <f t="shared" si="3"/>
        <v>#REF!</v>
      </c>
      <c r="T5" s="44" t="e">
        <f t="shared" si="3"/>
        <v>#REF!</v>
      </c>
      <c r="U5" s="44" t="e">
        <f t="shared" si="3"/>
        <v>#REF!</v>
      </c>
      <c r="V5" s="44" t="e">
        <f t="shared" si="3"/>
        <v>#REF!</v>
      </c>
      <c r="W5" s="44" t="e">
        <f t="shared" si="3"/>
        <v>#REF!</v>
      </c>
      <c r="X5" s="44" t="e">
        <f t="shared" si="3"/>
        <v>#REF!</v>
      </c>
      <c r="Y5" s="44" t="e">
        <f t="shared" si="3"/>
        <v>#REF!</v>
      </c>
      <c r="Z5" s="44" t="e">
        <f t="shared" si="3"/>
        <v>#REF!</v>
      </c>
      <c r="AA5" s="44" t="e">
        <f t="shared" si="3"/>
        <v>#REF!</v>
      </c>
      <c r="AB5" s="44" t="e">
        <f t="shared" si="3"/>
        <v>#REF!</v>
      </c>
      <c r="AC5" s="44" t="e">
        <f t="shared" si="3"/>
        <v>#REF!</v>
      </c>
    </row>
    <row r="6" spans="2:29" hidden="1" x14ac:dyDescent="0.25">
      <c r="B6" s="203"/>
      <c r="C6" s="40" t="s">
        <v>131</v>
      </c>
      <c r="D6" s="44">
        <v>0</v>
      </c>
      <c r="E6" s="44">
        <v>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44">
        <v>0</v>
      </c>
      <c r="V6" s="44">
        <v>0</v>
      </c>
      <c r="W6" s="44">
        <v>0</v>
      </c>
      <c r="X6" s="44">
        <v>0</v>
      </c>
      <c r="Y6" s="44">
        <v>0</v>
      </c>
      <c r="Z6" s="44">
        <v>0</v>
      </c>
      <c r="AA6" s="44">
        <v>0</v>
      </c>
      <c r="AB6" s="44">
        <v>0</v>
      </c>
      <c r="AC6" s="44">
        <v>0</v>
      </c>
    </row>
    <row r="7" spans="2:29" x14ac:dyDescent="0.25">
      <c r="B7" s="203"/>
      <c r="C7" s="45" t="s">
        <v>105</v>
      </c>
      <c r="D7" s="46">
        <f>+SUM(D5:D6)</f>
        <v>0</v>
      </c>
      <c r="E7" s="46" t="e">
        <f>+SUM(E5:E6)</f>
        <v>#REF!</v>
      </c>
      <c r="F7" s="46" t="e">
        <f>+SUM(F5:F6)</f>
        <v>#REF!</v>
      </c>
      <c r="G7" s="46" t="e">
        <f t="shared" ref="G7:AC7" si="4">+SUM(G5:G6)</f>
        <v>#REF!</v>
      </c>
      <c r="H7" s="46" t="e">
        <f t="shared" si="4"/>
        <v>#REF!</v>
      </c>
      <c r="I7" s="46" t="e">
        <f t="shared" si="4"/>
        <v>#REF!</v>
      </c>
      <c r="J7" s="46" t="e">
        <f t="shared" si="4"/>
        <v>#REF!</v>
      </c>
      <c r="K7" s="46" t="e">
        <f t="shared" si="4"/>
        <v>#REF!</v>
      </c>
      <c r="L7" s="46" t="e">
        <f t="shared" si="4"/>
        <v>#REF!</v>
      </c>
      <c r="M7" s="46" t="e">
        <f t="shared" si="4"/>
        <v>#REF!</v>
      </c>
      <c r="N7" s="46" t="e">
        <f t="shared" si="4"/>
        <v>#REF!</v>
      </c>
      <c r="O7" s="46" t="e">
        <f t="shared" si="4"/>
        <v>#REF!</v>
      </c>
      <c r="P7" s="46" t="e">
        <f t="shared" si="4"/>
        <v>#REF!</v>
      </c>
      <c r="Q7" s="46" t="e">
        <f t="shared" si="4"/>
        <v>#REF!</v>
      </c>
      <c r="R7" s="46" t="e">
        <f t="shared" si="4"/>
        <v>#REF!</v>
      </c>
      <c r="S7" s="46" t="e">
        <f t="shared" si="4"/>
        <v>#REF!</v>
      </c>
      <c r="T7" s="46" t="e">
        <f t="shared" si="4"/>
        <v>#REF!</v>
      </c>
      <c r="U7" s="46" t="e">
        <f t="shared" si="4"/>
        <v>#REF!</v>
      </c>
      <c r="V7" s="46" t="e">
        <f t="shared" si="4"/>
        <v>#REF!</v>
      </c>
      <c r="W7" s="46" t="e">
        <f t="shared" si="4"/>
        <v>#REF!</v>
      </c>
      <c r="X7" s="46" t="e">
        <f t="shared" si="4"/>
        <v>#REF!</v>
      </c>
      <c r="Y7" s="46" t="e">
        <f t="shared" si="4"/>
        <v>#REF!</v>
      </c>
      <c r="Z7" s="46" t="e">
        <f t="shared" si="4"/>
        <v>#REF!</v>
      </c>
      <c r="AA7" s="46" t="e">
        <f t="shared" si="4"/>
        <v>#REF!</v>
      </c>
      <c r="AB7" s="46" t="e">
        <f t="shared" si="4"/>
        <v>#REF!</v>
      </c>
      <c r="AC7" s="46" t="e">
        <f t="shared" si="4"/>
        <v>#REF!</v>
      </c>
    </row>
    <row r="8" spans="2:29" x14ac:dyDescent="0.25">
      <c r="B8" s="41"/>
      <c r="C8" s="45"/>
      <c r="D8" s="46">
        <f>+'DATOS '!F27*-1</f>
        <v>-3283027.15</v>
      </c>
      <c r="E8" s="46" t="e">
        <f>+E7</f>
        <v>#REF!</v>
      </c>
      <c r="F8" s="46" t="e">
        <f t="shared" ref="F8:AC8" si="5">+F7</f>
        <v>#REF!</v>
      </c>
      <c r="G8" s="46" t="e">
        <f t="shared" si="5"/>
        <v>#REF!</v>
      </c>
      <c r="H8" s="46" t="e">
        <f t="shared" si="5"/>
        <v>#REF!</v>
      </c>
      <c r="I8" s="46" t="e">
        <f t="shared" si="5"/>
        <v>#REF!</v>
      </c>
      <c r="J8" s="46" t="e">
        <f t="shared" si="5"/>
        <v>#REF!</v>
      </c>
      <c r="K8" s="46" t="e">
        <f t="shared" si="5"/>
        <v>#REF!</v>
      </c>
      <c r="L8" s="46" t="e">
        <f t="shared" si="5"/>
        <v>#REF!</v>
      </c>
      <c r="M8" s="46" t="e">
        <f t="shared" si="5"/>
        <v>#REF!</v>
      </c>
      <c r="N8" s="46" t="e">
        <f t="shared" si="5"/>
        <v>#REF!</v>
      </c>
      <c r="O8" s="46" t="e">
        <f t="shared" si="5"/>
        <v>#REF!</v>
      </c>
      <c r="P8" s="46" t="e">
        <f t="shared" si="5"/>
        <v>#REF!</v>
      </c>
      <c r="Q8" s="46" t="e">
        <f t="shared" si="5"/>
        <v>#REF!</v>
      </c>
      <c r="R8" s="46" t="e">
        <f t="shared" si="5"/>
        <v>#REF!</v>
      </c>
      <c r="S8" s="46" t="e">
        <f t="shared" si="5"/>
        <v>#REF!</v>
      </c>
      <c r="T8" s="46" t="e">
        <f t="shared" si="5"/>
        <v>#REF!</v>
      </c>
      <c r="U8" s="46" t="e">
        <f t="shared" si="5"/>
        <v>#REF!</v>
      </c>
      <c r="V8" s="46" t="e">
        <f t="shared" si="5"/>
        <v>#REF!</v>
      </c>
      <c r="W8" s="46" t="e">
        <f t="shared" si="5"/>
        <v>#REF!</v>
      </c>
      <c r="X8" s="46" t="e">
        <f t="shared" si="5"/>
        <v>#REF!</v>
      </c>
      <c r="Y8" s="46" t="e">
        <f t="shared" si="5"/>
        <v>#REF!</v>
      </c>
      <c r="Z8" s="46" t="e">
        <f t="shared" si="5"/>
        <v>#REF!</v>
      </c>
      <c r="AA8" s="46" t="e">
        <f t="shared" si="5"/>
        <v>#REF!</v>
      </c>
      <c r="AB8" s="46" t="e">
        <f t="shared" si="5"/>
        <v>#REF!</v>
      </c>
      <c r="AC8" s="46" t="e">
        <f t="shared" si="5"/>
        <v>#REF!</v>
      </c>
    </row>
    <row r="9" spans="2:29" x14ac:dyDescent="0.25">
      <c r="C9" t="s">
        <v>160</v>
      </c>
      <c r="D9" s="39">
        <f>+D8*-1</f>
        <v>3283027.15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29" x14ac:dyDescent="0.25">
      <c r="B10" s="204" t="s">
        <v>132</v>
      </c>
      <c r="C10" s="47" t="s">
        <v>104</v>
      </c>
      <c r="D10" s="48">
        <v>0</v>
      </c>
      <c r="E10" s="48">
        <f>+Capacidad!O5*1</f>
        <v>1.6822325581395348E-2</v>
      </c>
      <c r="F10" s="48">
        <f>+E10</f>
        <v>1.6822325581395348E-2</v>
      </c>
      <c r="G10" s="48">
        <f t="shared" ref="G10:AC10" si="6">+F10</f>
        <v>1.6822325581395348E-2</v>
      </c>
      <c r="H10" s="48">
        <f t="shared" si="6"/>
        <v>1.6822325581395348E-2</v>
      </c>
      <c r="I10" s="48">
        <f t="shared" si="6"/>
        <v>1.6822325581395348E-2</v>
      </c>
      <c r="J10" s="48">
        <f t="shared" si="6"/>
        <v>1.6822325581395348E-2</v>
      </c>
      <c r="K10" s="48">
        <f t="shared" si="6"/>
        <v>1.6822325581395348E-2</v>
      </c>
      <c r="L10" s="48">
        <f t="shared" si="6"/>
        <v>1.6822325581395348E-2</v>
      </c>
      <c r="M10" s="48">
        <f t="shared" si="6"/>
        <v>1.6822325581395348E-2</v>
      </c>
      <c r="N10" s="48">
        <f t="shared" si="6"/>
        <v>1.6822325581395348E-2</v>
      </c>
      <c r="O10" s="48">
        <f t="shared" si="6"/>
        <v>1.6822325581395348E-2</v>
      </c>
      <c r="P10" s="48">
        <f t="shared" si="6"/>
        <v>1.6822325581395348E-2</v>
      </c>
      <c r="Q10" s="48">
        <f t="shared" si="6"/>
        <v>1.6822325581395348E-2</v>
      </c>
      <c r="R10" s="48">
        <f t="shared" si="6"/>
        <v>1.6822325581395348E-2</v>
      </c>
      <c r="S10" s="48">
        <f t="shared" si="6"/>
        <v>1.6822325581395348E-2</v>
      </c>
      <c r="T10" s="48">
        <f t="shared" si="6"/>
        <v>1.6822325581395348E-2</v>
      </c>
      <c r="U10" s="48">
        <f t="shared" si="6"/>
        <v>1.6822325581395348E-2</v>
      </c>
      <c r="V10" s="48">
        <f t="shared" si="6"/>
        <v>1.6822325581395348E-2</v>
      </c>
      <c r="W10" s="48">
        <f t="shared" si="6"/>
        <v>1.6822325581395348E-2</v>
      </c>
      <c r="X10" s="48">
        <f t="shared" si="6"/>
        <v>1.6822325581395348E-2</v>
      </c>
      <c r="Y10" s="48">
        <f t="shared" si="6"/>
        <v>1.6822325581395348E-2</v>
      </c>
      <c r="Z10" s="48">
        <f t="shared" si="6"/>
        <v>1.6822325581395348E-2</v>
      </c>
      <c r="AA10" s="48">
        <f t="shared" si="6"/>
        <v>1.6822325581395348E-2</v>
      </c>
      <c r="AB10" s="48">
        <f t="shared" si="6"/>
        <v>1.6822325581395348E-2</v>
      </c>
      <c r="AC10" s="48">
        <f t="shared" si="6"/>
        <v>1.6822325581395348E-2</v>
      </c>
    </row>
    <row r="11" spans="2:29" x14ac:dyDescent="0.25">
      <c r="B11" s="204"/>
      <c r="C11" s="47" t="s">
        <v>102</v>
      </c>
      <c r="D11" s="48">
        <v>0</v>
      </c>
      <c r="E11" s="48" t="e">
        <f>+Capacidad!#REF!*LCOH!#REF!</f>
        <v>#REF!</v>
      </c>
      <c r="F11" s="48" t="e">
        <f>+E11</f>
        <v>#REF!</v>
      </c>
      <c r="G11" s="48" t="e">
        <f t="shared" ref="G11:AC11" si="7">+F11</f>
        <v>#REF!</v>
      </c>
      <c r="H11" s="48" t="e">
        <f t="shared" si="7"/>
        <v>#REF!</v>
      </c>
      <c r="I11" s="48" t="e">
        <f t="shared" si="7"/>
        <v>#REF!</v>
      </c>
      <c r="J11" s="48" t="e">
        <f t="shared" si="7"/>
        <v>#REF!</v>
      </c>
      <c r="K11" s="48" t="e">
        <f t="shared" si="7"/>
        <v>#REF!</v>
      </c>
      <c r="L11" s="48" t="e">
        <f t="shared" si="7"/>
        <v>#REF!</v>
      </c>
      <c r="M11" s="48" t="e">
        <f t="shared" si="7"/>
        <v>#REF!</v>
      </c>
      <c r="N11" s="48" t="e">
        <f t="shared" si="7"/>
        <v>#REF!</v>
      </c>
      <c r="O11" s="48" t="e">
        <f t="shared" si="7"/>
        <v>#REF!</v>
      </c>
      <c r="P11" s="48" t="e">
        <f t="shared" si="7"/>
        <v>#REF!</v>
      </c>
      <c r="Q11" s="48" t="e">
        <f t="shared" si="7"/>
        <v>#REF!</v>
      </c>
      <c r="R11" s="48" t="e">
        <f t="shared" si="7"/>
        <v>#REF!</v>
      </c>
      <c r="S11" s="48" t="e">
        <f t="shared" si="7"/>
        <v>#REF!</v>
      </c>
      <c r="T11" s="48" t="e">
        <f t="shared" si="7"/>
        <v>#REF!</v>
      </c>
      <c r="U11" s="48" t="e">
        <f t="shared" si="7"/>
        <v>#REF!</v>
      </c>
      <c r="V11" s="48" t="e">
        <f t="shared" si="7"/>
        <v>#REF!</v>
      </c>
      <c r="W11" s="48" t="e">
        <f t="shared" si="7"/>
        <v>#REF!</v>
      </c>
      <c r="X11" s="48" t="e">
        <f t="shared" si="7"/>
        <v>#REF!</v>
      </c>
      <c r="Y11" s="48" t="e">
        <f t="shared" si="7"/>
        <v>#REF!</v>
      </c>
      <c r="Z11" s="48" t="e">
        <f t="shared" si="7"/>
        <v>#REF!</v>
      </c>
      <c r="AA11" s="48" t="e">
        <f t="shared" si="7"/>
        <v>#REF!</v>
      </c>
      <c r="AB11" s="48" t="e">
        <f t="shared" si="7"/>
        <v>#REF!</v>
      </c>
      <c r="AC11" s="48" t="e">
        <f t="shared" si="7"/>
        <v>#REF!</v>
      </c>
    </row>
    <row r="12" spans="2:29" x14ac:dyDescent="0.25">
      <c r="B12" s="204"/>
      <c r="C12" s="47" t="s">
        <v>161</v>
      </c>
      <c r="D12" s="48">
        <f>+'DATOS '!F28</f>
        <v>164151.35750000001</v>
      </c>
      <c r="E12" s="48">
        <f>+D12*1.03</f>
        <v>169075.89822500001</v>
      </c>
      <c r="F12" s="48">
        <f>+E12*1.03</f>
        <v>174148.17517175002</v>
      </c>
      <c r="G12" s="48">
        <f>+F12*1.03</f>
        <v>179372.62042690252</v>
      </c>
      <c r="H12" s="48">
        <f t="shared" ref="H12:N13" si="8">+G12*1.03</f>
        <v>184753.79903970959</v>
      </c>
      <c r="I12" s="48">
        <f t="shared" si="8"/>
        <v>190296.41301090087</v>
      </c>
      <c r="J12" s="48">
        <f t="shared" si="8"/>
        <v>196005.3054012279</v>
      </c>
      <c r="K12" s="48">
        <f t="shared" si="8"/>
        <v>201885.46456326474</v>
      </c>
      <c r="L12" s="48">
        <f t="shared" si="8"/>
        <v>207942.02850016271</v>
      </c>
      <c r="M12" s="48">
        <f t="shared" si="8"/>
        <v>214180.2893551676</v>
      </c>
      <c r="N12" s="48">
        <f>+M12*1.03</f>
        <v>220605.69803582263</v>
      </c>
      <c r="O12" s="48">
        <f t="shared" ref="O12:AC13" si="9">+N12*1.03</f>
        <v>227223.86897689733</v>
      </c>
      <c r="P12" s="48">
        <f t="shared" si="9"/>
        <v>234040.58504620424</v>
      </c>
      <c r="Q12" s="48">
        <f t="shared" si="9"/>
        <v>241061.80259759037</v>
      </c>
      <c r="R12" s="48">
        <f t="shared" si="9"/>
        <v>248293.65667551808</v>
      </c>
      <c r="S12" s="48">
        <f t="shared" si="9"/>
        <v>255742.46637578364</v>
      </c>
      <c r="T12" s="48">
        <f t="shared" si="9"/>
        <v>263414.74036705715</v>
      </c>
      <c r="U12" s="48">
        <f t="shared" si="9"/>
        <v>271317.18257806887</v>
      </c>
      <c r="V12" s="48">
        <f t="shared" si="9"/>
        <v>279456.69805541093</v>
      </c>
      <c r="W12" s="48">
        <f t="shared" si="9"/>
        <v>287840.39899707329</v>
      </c>
      <c r="X12" s="48">
        <f t="shared" si="9"/>
        <v>296475.61096698552</v>
      </c>
      <c r="Y12" s="48">
        <f t="shared" si="9"/>
        <v>305369.87929599511</v>
      </c>
      <c r="Z12" s="48">
        <f t="shared" si="9"/>
        <v>314530.97567487496</v>
      </c>
      <c r="AA12" s="48">
        <f t="shared" si="9"/>
        <v>323966.9049451212</v>
      </c>
      <c r="AB12" s="48">
        <f t="shared" si="9"/>
        <v>333685.91209347482</v>
      </c>
      <c r="AC12" s="48">
        <f t="shared" si="9"/>
        <v>343696.48945627909</v>
      </c>
    </row>
    <row r="13" spans="2:29" x14ac:dyDescent="0.25">
      <c r="B13" s="204"/>
      <c r="C13" s="47" t="s">
        <v>162</v>
      </c>
      <c r="D13" s="48"/>
      <c r="E13" s="48">
        <f>+'DATOS '!F29+'DATOS '!F30</f>
        <v>229811.90050000002</v>
      </c>
      <c r="F13" s="48">
        <f>+E13*1.03</f>
        <v>236706.25751500003</v>
      </c>
      <c r="G13" s="48">
        <f t="shared" ref="G13" si="10">+F13*1.03</f>
        <v>243807.44524045003</v>
      </c>
      <c r="H13" s="48">
        <f t="shared" si="8"/>
        <v>251121.66859766355</v>
      </c>
      <c r="I13" s="48">
        <f t="shared" si="8"/>
        <v>258655.31865559347</v>
      </c>
      <c r="J13" s="48">
        <f t="shared" si="8"/>
        <v>266414.9782152613</v>
      </c>
      <c r="K13" s="48">
        <f t="shared" si="8"/>
        <v>274407.42756171915</v>
      </c>
      <c r="L13" s="48">
        <f t="shared" si="8"/>
        <v>282639.65038857074</v>
      </c>
      <c r="M13" s="48">
        <f t="shared" si="8"/>
        <v>291118.83990022785</v>
      </c>
      <c r="N13" s="48">
        <f t="shared" si="8"/>
        <v>299852.4050972347</v>
      </c>
      <c r="O13" s="48">
        <f t="shared" si="9"/>
        <v>308847.97725015174</v>
      </c>
      <c r="P13" s="48">
        <f t="shared" si="9"/>
        <v>318113.41656765633</v>
      </c>
      <c r="Q13" s="48">
        <f t="shared" si="9"/>
        <v>327656.81906468602</v>
      </c>
      <c r="R13" s="48">
        <f t="shared" si="9"/>
        <v>337486.5236366266</v>
      </c>
      <c r="S13" s="48">
        <f t="shared" si="9"/>
        <v>347611.1193457254</v>
      </c>
      <c r="T13" s="48">
        <f t="shared" si="9"/>
        <v>358039.45292609715</v>
      </c>
      <c r="U13" s="48">
        <f t="shared" si="9"/>
        <v>368780.63651388005</v>
      </c>
      <c r="V13" s="48">
        <f t="shared" si="9"/>
        <v>379844.05560929648</v>
      </c>
      <c r="W13" s="48">
        <f t="shared" si="9"/>
        <v>391239.37727757538</v>
      </c>
      <c r="X13" s="48">
        <f t="shared" si="9"/>
        <v>402976.55859590264</v>
      </c>
      <c r="Y13" s="48">
        <f t="shared" si="9"/>
        <v>415065.85535377974</v>
      </c>
      <c r="Z13" s="48">
        <f t="shared" si="9"/>
        <v>427517.83101439313</v>
      </c>
      <c r="AA13" s="48">
        <f t="shared" si="9"/>
        <v>440343.36594482494</v>
      </c>
      <c r="AB13" s="48">
        <f t="shared" si="9"/>
        <v>453553.66692316969</v>
      </c>
      <c r="AC13" s="48">
        <f t="shared" si="9"/>
        <v>467160.27693086478</v>
      </c>
    </row>
    <row r="14" spans="2:29" hidden="1" x14ac:dyDescent="0.25">
      <c r="B14" s="204"/>
      <c r="C14" s="47" t="s">
        <v>137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</row>
    <row r="15" spans="2:29" hidden="1" x14ac:dyDescent="0.25">
      <c r="B15" s="204"/>
      <c r="C15" s="47" t="s">
        <v>138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</row>
    <row r="16" spans="2:29" x14ac:dyDescent="0.25">
      <c r="B16" s="204"/>
      <c r="C16" s="49" t="s">
        <v>105</v>
      </c>
      <c r="D16" s="50">
        <f>+SUM(D9:D15)</f>
        <v>3447178.5074999998</v>
      </c>
      <c r="E16" s="50">
        <f>+SUM(E12:E15)</f>
        <v>398887.798725</v>
      </c>
      <c r="F16" s="50">
        <f>+SUM(F12:F15)</f>
        <v>410854.43268675008</v>
      </c>
      <c r="G16" s="50">
        <f t="shared" ref="G16:AC16" si="11">+SUM(G12:G15)</f>
        <v>423180.06566735252</v>
      </c>
      <c r="H16" s="50">
        <f t="shared" si="11"/>
        <v>435875.46763737313</v>
      </c>
      <c r="I16" s="50">
        <f t="shared" si="11"/>
        <v>448951.73166649434</v>
      </c>
      <c r="J16" s="50">
        <f t="shared" si="11"/>
        <v>462420.28361648921</v>
      </c>
      <c r="K16" s="50">
        <f t="shared" si="11"/>
        <v>476292.89212498389</v>
      </c>
      <c r="L16" s="50">
        <f t="shared" si="11"/>
        <v>490581.67888873344</v>
      </c>
      <c r="M16" s="50">
        <f t="shared" si="11"/>
        <v>505299.12925539544</v>
      </c>
      <c r="N16" s="50">
        <f t="shared" si="11"/>
        <v>520458.10313305736</v>
      </c>
      <c r="O16" s="50">
        <f t="shared" si="11"/>
        <v>536071.84622704913</v>
      </c>
      <c r="P16" s="50">
        <f t="shared" si="11"/>
        <v>552154.0016138606</v>
      </c>
      <c r="Q16" s="50">
        <f t="shared" si="11"/>
        <v>568718.62166227633</v>
      </c>
      <c r="R16" s="50">
        <f t="shared" si="11"/>
        <v>585780.18031214469</v>
      </c>
      <c r="S16" s="50">
        <f t="shared" si="11"/>
        <v>603353.58572150907</v>
      </c>
      <c r="T16" s="50">
        <f t="shared" si="11"/>
        <v>621454.19329315424</v>
      </c>
      <c r="U16" s="50">
        <f t="shared" si="11"/>
        <v>640097.81909194891</v>
      </c>
      <c r="V16" s="50">
        <f t="shared" si="11"/>
        <v>659300.75366470742</v>
      </c>
      <c r="W16" s="50">
        <f t="shared" si="11"/>
        <v>679079.77627464873</v>
      </c>
      <c r="X16" s="50">
        <f t="shared" si="11"/>
        <v>699452.1695628881</v>
      </c>
      <c r="Y16" s="50">
        <f t="shared" si="11"/>
        <v>720435.73464977485</v>
      </c>
      <c r="Z16" s="50">
        <f t="shared" si="11"/>
        <v>742048.80668926809</v>
      </c>
      <c r="AA16" s="50">
        <f t="shared" si="11"/>
        <v>764310.27088994614</v>
      </c>
      <c r="AB16" s="50">
        <f t="shared" si="11"/>
        <v>787239.57901664451</v>
      </c>
      <c r="AC16" s="50">
        <f t="shared" si="11"/>
        <v>810856.76638714387</v>
      </c>
    </row>
    <row r="17" spans="2:29" x14ac:dyDescent="0.25">
      <c r="B17" s="205" t="s">
        <v>139</v>
      </c>
      <c r="C17" s="51" t="s">
        <v>140</v>
      </c>
      <c r="D17" s="52">
        <f>+'DATOS '!$K$25</f>
        <v>921733.5</v>
      </c>
      <c r="E17" s="52">
        <f>+'DATOS '!$K$25</f>
        <v>921733.5</v>
      </c>
      <c r="F17" s="52">
        <f>+'DATOS '!$K$25</f>
        <v>921733.5</v>
      </c>
      <c r="G17" s="52">
        <f>+'DATOS '!$K$25</f>
        <v>921733.5</v>
      </c>
      <c r="H17" s="52">
        <f>+'DATOS '!$K$25</f>
        <v>921733.5</v>
      </c>
      <c r="I17" s="52">
        <f>+'DATOS '!$K$25</f>
        <v>921733.5</v>
      </c>
      <c r="J17" s="52">
        <f>+'DATOS '!$K$25</f>
        <v>921733.5</v>
      </c>
      <c r="K17" s="52">
        <f>+'DATOS '!$K$25</f>
        <v>921733.5</v>
      </c>
      <c r="L17" s="52">
        <f>+'DATOS '!$K$25</f>
        <v>921733.5</v>
      </c>
      <c r="M17" s="52">
        <f>+'DATOS '!$K$25</f>
        <v>921733.5</v>
      </c>
      <c r="N17" s="52">
        <f>+'DATOS '!$K$25</f>
        <v>921733.5</v>
      </c>
      <c r="O17" s="52">
        <f>+'DATOS '!$K$25</f>
        <v>921733.5</v>
      </c>
      <c r="P17" s="52">
        <f>+'DATOS '!$K$25</f>
        <v>921733.5</v>
      </c>
      <c r="Q17" s="52">
        <f>+'DATOS '!$K$25</f>
        <v>921733.5</v>
      </c>
      <c r="R17" s="52">
        <f>+'DATOS '!$K$25</f>
        <v>921733.5</v>
      </c>
      <c r="S17" s="52">
        <f>+'DATOS '!$K$25</f>
        <v>921733.5</v>
      </c>
      <c r="T17" s="52"/>
      <c r="U17" s="52"/>
      <c r="V17" s="52"/>
      <c r="W17" s="52"/>
      <c r="X17" s="52"/>
      <c r="Y17" s="52"/>
      <c r="Z17" s="52"/>
      <c r="AA17" s="52"/>
      <c r="AB17" s="52"/>
      <c r="AC17" s="52"/>
    </row>
    <row r="18" spans="2:29" x14ac:dyDescent="0.25">
      <c r="B18" s="205"/>
      <c r="C18" s="51" t="s">
        <v>163</v>
      </c>
      <c r="D18" s="52">
        <f>+'DATOS '!$M$25</f>
        <v>614427.55109999992</v>
      </c>
      <c r="E18" s="52">
        <f>+'DATOS '!$M$25</f>
        <v>614427.55109999992</v>
      </c>
      <c r="F18" s="52">
        <f>+'DATOS '!$M$25</f>
        <v>614427.55109999992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2:29" hidden="1" x14ac:dyDescent="0.25">
      <c r="B19" s="205"/>
      <c r="C19" s="51" t="s">
        <v>142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2:29" x14ac:dyDescent="0.25">
      <c r="B20" s="205"/>
      <c r="C20" s="51" t="s">
        <v>143</v>
      </c>
      <c r="D20" s="52">
        <f>+D17-D18</f>
        <v>307305.94890000008</v>
      </c>
      <c r="E20" s="52">
        <f t="shared" ref="E20:AC20" si="12">+E17-E18</f>
        <v>307305.94890000008</v>
      </c>
      <c r="F20" s="52">
        <f t="shared" si="12"/>
        <v>307305.94890000008</v>
      </c>
      <c r="G20" s="52">
        <f t="shared" si="12"/>
        <v>921733.5</v>
      </c>
      <c r="H20" s="52">
        <f t="shared" si="12"/>
        <v>921733.5</v>
      </c>
      <c r="I20" s="52">
        <f t="shared" si="12"/>
        <v>921733.5</v>
      </c>
      <c r="J20" s="52">
        <f t="shared" si="12"/>
        <v>921733.5</v>
      </c>
      <c r="K20" s="52">
        <f t="shared" si="12"/>
        <v>921733.5</v>
      </c>
      <c r="L20" s="52">
        <f t="shared" si="12"/>
        <v>921733.5</v>
      </c>
      <c r="M20" s="52">
        <f t="shared" si="12"/>
        <v>921733.5</v>
      </c>
      <c r="N20" s="52">
        <f t="shared" si="12"/>
        <v>921733.5</v>
      </c>
      <c r="O20" s="52">
        <f t="shared" si="12"/>
        <v>921733.5</v>
      </c>
      <c r="P20" s="52">
        <f t="shared" si="12"/>
        <v>921733.5</v>
      </c>
      <c r="Q20" s="52">
        <f t="shared" si="12"/>
        <v>921733.5</v>
      </c>
      <c r="R20" s="52">
        <f t="shared" si="12"/>
        <v>921733.5</v>
      </c>
      <c r="S20" s="52">
        <f t="shared" si="12"/>
        <v>921733.5</v>
      </c>
      <c r="T20" s="52">
        <f t="shared" si="12"/>
        <v>0</v>
      </c>
      <c r="U20" s="52">
        <f t="shared" si="12"/>
        <v>0</v>
      </c>
      <c r="V20" s="52">
        <f t="shared" si="12"/>
        <v>0</v>
      </c>
      <c r="W20" s="52">
        <f t="shared" si="12"/>
        <v>0</v>
      </c>
      <c r="X20" s="52">
        <f t="shared" si="12"/>
        <v>0</v>
      </c>
      <c r="Y20" s="52">
        <f t="shared" si="12"/>
        <v>0</v>
      </c>
      <c r="Z20" s="52">
        <f t="shared" si="12"/>
        <v>0</v>
      </c>
      <c r="AA20" s="52">
        <f t="shared" si="12"/>
        <v>0</v>
      </c>
      <c r="AB20" s="52">
        <f t="shared" si="12"/>
        <v>0</v>
      </c>
      <c r="AC20" s="52">
        <f t="shared" si="12"/>
        <v>0</v>
      </c>
    </row>
    <row r="21" spans="2:29" x14ac:dyDescent="0.25">
      <c r="B21" s="205"/>
      <c r="C21" s="53" t="s">
        <v>144</v>
      </c>
      <c r="D21" s="54">
        <f>+D20*0.14-D19</f>
        <v>43022.832846000012</v>
      </c>
      <c r="E21" s="54">
        <f t="shared" ref="E21:AC21" si="13">+E20*0.14-E19</f>
        <v>43022.832846000012</v>
      </c>
      <c r="F21" s="54">
        <f t="shared" si="13"/>
        <v>43022.832846000012</v>
      </c>
      <c r="G21" s="54">
        <f t="shared" si="13"/>
        <v>129042.69000000002</v>
      </c>
      <c r="H21" s="54">
        <f t="shared" si="13"/>
        <v>129042.69000000002</v>
      </c>
      <c r="I21" s="54">
        <f t="shared" si="13"/>
        <v>129042.69000000002</v>
      </c>
      <c r="J21" s="54">
        <f t="shared" si="13"/>
        <v>129042.69000000002</v>
      </c>
      <c r="K21" s="54">
        <f t="shared" si="13"/>
        <v>129042.69000000002</v>
      </c>
      <c r="L21" s="54">
        <f t="shared" si="13"/>
        <v>129042.69000000002</v>
      </c>
      <c r="M21" s="54">
        <f t="shared" si="13"/>
        <v>129042.69000000002</v>
      </c>
      <c r="N21" s="54">
        <f t="shared" si="13"/>
        <v>129042.69000000002</v>
      </c>
      <c r="O21" s="54">
        <f t="shared" si="13"/>
        <v>129042.69000000002</v>
      </c>
      <c r="P21" s="54">
        <f t="shared" si="13"/>
        <v>129042.69000000002</v>
      </c>
      <c r="Q21" s="54">
        <f t="shared" si="13"/>
        <v>129042.69000000002</v>
      </c>
      <c r="R21" s="54">
        <f t="shared" si="13"/>
        <v>129042.69000000002</v>
      </c>
      <c r="S21" s="54">
        <f t="shared" si="13"/>
        <v>129042.69000000002</v>
      </c>
      <c r="T21" s="54">
        <f t="shared" si="13"/>
        <v>0</v>
      </c>
      <c r="U21" s="54">
        <f t="shared" si="13"/>
        <v>0</v>
      </c>
      <c r="V21" s="54">
        <f t="shared" si="13"/>
        <v>0</v>
      </c>
      <c r="W21" s="54">
        <f t="shared" si="13"/>
        <v>0</v>
      </c>
      <c r="X21" s="54">
        <f t="shared" si="13"/>
        <v>0</v>
      </c>
      <c r="Y21" s="54">
        <f t="shared" si="13"/>
        <v>0</v>
      </c>
      <c r="Z21" s="54">
        <f t="shared" si="13"/>
        <v>0</v>
      </c>
      <c r="AA21" s="54">
        <f t="shared" si="13"/>
        <v>0</v>
      </c>
      <c r="AB21" s="54">
        <f t="shared" si="13"/>
        <v>0</v>
      </c>
      <c r="AC21" s="54">
        <f t="shared" si="13"/>
        <v>0</v>
      </c>
    </row>
    <row r="22" spans="2:29" x14ac:dyDescent="0.25">
      <c r="B22" s="206" t="s">
        <v>145</v>
      </c>
      <c r="C22" s="206"/>
      <c r="D22" s="52">
        <f>+D7-(D21+D16)</f>
        <v>-3490201.3403459997</v>
      </c>
      <c r="E22" s="52" t="e">
        <f>+E7-(E21+E16)</f>
        <v>#REF!</v>
      </c>
      <c r="F22" s="52" t="e">
        <f t="shared" ref="F22:AC22" si="14">+F7-F21-F16</f>
        <v>#REF!</v>
      </c>
      <c r="G22" s="52" t="e">
        <f t="shared" si="14"/>
        <v>#REF!</v>
      </c>
      <c r="H22" s="52" t="e">
        <f t="shared" si="14"/>
        <v>#REF!</v>
      </c>
      <c r="I22" s="52" t="e">
        <f t="shared" si="14"/>
        <v>#REF!</v>
      </c>
      <c r="J22" s="52" t="e">
        <f t="shared" si="14"/>
        <v>#REF!</v>
      </c>
      <c r="K22" s="52" t="e">
        <f t="shared" si="14"/>
        <v>#REF!</v>
      </c>
      <c r="L22" s="52" t="e">
        <f t="shared" si="14"/>
        <v>#REF!</v>
      </c>
      <c r="M22" s="52" t="e">
        <f t="shared" si="14"/>
        <v>#REF!</v>
      </c>
      <c r="N22" s="52" t="e">
        <f t="shared" si="14"/>
        <v>#REF!</v>
      </c>
      <c r="O22" s="52" t="e">
        <f t="shared" si="14"/>
        <v>#REF!</v>
      </c>
      <c r="P22" s="52" t="e">
        <f t="shared" si="14"/>
        <v>#REF!</v>
      </c>
      <c r="Q22" s="52" t="e">
        <f t="shared" si="14"/>
        <v>#REF!</v>
      </c>
      <c r="R22" s="52" t="e">
        <f t="shared" si="14"/>
        <v>#REF!</v>
      </c>
      <c r="S22" s="52" t="e">
        <f t="shared" si="14"/>
        <v>#REF!</v>
      </c>
      <c r="T22" s="52" t="e">
        <f t="shared" si="14"/>
        <v>#REF!</v>
      </c>
      <c r="U22" s="52" t="e">
        <f t="shared" si="14"/>
        <v>#REF!</v>
      </c>
      <c r="V22" s="52" t="e">
        <f t="shared" si="14"/>
        <v>#REF!</v>
      </c>
      <c r="W22" s="52" t="e">
        <f t="shared" si="14"/>
        <v>#REF!</v>
      </c>
      <c r="X22" s="52" t="e">
        <f t="shared" si="14"/>
        <v>#REF!</v>
      </c>
      <c r="Y22" s="52" t="e">
        <f t="shared" si="14"/>
        <v>#REF!</v>
      </c>
      <c r="Z22" s="52" t="e">
        <f t="shared" si="14"/>
        <v>#REF!</v>
      </c>
      <c r="AA22" s="52" t="e">
        <f t="shared" si="14"/>
        <v>#REF!</v>
      </c>
      <c r="AB22" s="52" t="e">
        <f t="shared" si="14"/>
        <v>#REF!</v>
      </c>
      <c r="AC22" s="52" t="e">
        <f t="shared" si="14"/>
        <v>#REF!</v>
      </c>
    </row>
    <row r="23" spans="2:29" x14ac:dyDescent="0.25">
      <c r="B23" s="207" t="s">
        <v>146</v>
      </c>
      <c r="C23" s="207"/>
      <c r="D23" s="55">
        <f>1/(1+0.12)^(D2+1)</f>
        <v>0.89285714285714279</v>
      </c>
      <c r="E23" s="55">
        <f>1/(1+0.12)^(E2+1)</f>
        <v>0.79719387755102034</v>
      </c>
      <c r="F23" s="55">
        <f t="shared" ref="F23:AC23" si="15">1/(1+0.12)^(F2+1)</f>
        <v>0.71178024781341087</v>
      </c>
      <c r="G23" s="55">
        <f t="shared" si="15"/>
        <v>0.63551807840483121</v>
      </c>
      <c r="H23" s="55">
        <f t="shared" si="15"/>
        <v>0.56742685571859919</v>
      </c>
      <c r="I23" s="55">
        <f t="shared" si="15"/>
        <v>0.50663112117732068</v>
      </c>
      <c r="J23" s="55">
        <f t="shared" si="15"/>
        <v>0.45234921533689343</v>
      </c>
      <c r="K23" s="55">
        <f t="shared" si="15"/>
        <v>0.4038832279793691</v>
      </c>
      <c r="L23" s="55">
        <f t="shared" si="15"/>
        <v>0.36061002498157957</v>
      </c>
      <c r="M23" s="55">
        <f t="shared" si="15"/>
        <v>0.32197323659069599</v>
      </c>
      <c r="N23" s="55">
        <f t="shared" si="15"/>
        <v>0.28747610409883567</v>
      </c>
      <c r="O23" s="55">
        <f t="shared" si="15"/>
        <v>0.25667509294538904</v>
      </c>
      <c r="P23" s="55">
        <f t="shared" si="15"/>
        <v>0.22917419012981158</v>
      </c>
      <c r="Q23" s="55">
        <f t="shared" si="15"/>
        <v>0.20461981261590317</v>
      </c>
      <c r="R23" s="55">
        <f t="shared" si="15"/>
        <v>0.18269626126419927</v>
      </c>
      <c r="S23" s="55">
        <f t="shared" si="15"/>
        <v>0.16312166184303503</v>
      </c>
      <c r="T23" s="55">
        <f t="shared" si="15"/>
        <v>0.14564434093128129</v>
      </c>
      <c r="U23" s="55">
        <f t="shared" si="15"/>
        <v>0.13003959011721541</v>
      </c>
      <c r="V23" s="55">
        <f t="shared" si="15"/>
        <v>0.1161067768903709</v>
      </c>
      <c r="W23" s="55">
        <f t="shared" si="15"/>
        <v>0.1036667650806883</v>
      </c>
      <c r="X23" s="55">
        <f t="shared" si="15"/>
        <v>9.2559611679185971E-2</v>
      </c>
      <c r="Y23" s="55">
        <f t="shared" si="15"/>
        <v>8.2642510427844609E-2</v>
      </c>
      <c r="Z23" s="55">
        <f t="shared" si="15"/>
        <v>7.3787955739146982E-2</v>
      </c>
      <c r="AA23" s="55">
        <f t="shared" si="15"/>
        <v>6.5882103338524081E-2</v>
      </c>
      <c r="AB23" s="55">
        <f t="shared" si="15"/>
        <v>5.8823306552253637E-2</v>
      </c>
      <c r="AC23" s="55">
        <f t="shared" si="15"/>
        <v>5.2520809421655032E-2</v>
      </c>
    </row>
    <row r="24" spans="2:29" x14ac:dyDescent="0.25">
      <c r="B24" s="202" t="s">
        <v>147</v>
      </c>
      <c r="C24" s="202"/>
      <c r="D24" s="5">
        <f>+D23*D22</f>
        <v>-3116251.1967374994</v>
      </c>
      <c r="E24" s="5" t="e">
        <f>+E23*E22</f>
        <v>#REF!</v>
      </c>
      <c r="F24" s="5" t="e">
        <f t="shared" ref="F24:R24" si="16">+F23*F22</f>
        <v>#REF!</v>
      </c>
      <c r="G24" s="5" t="e">
        <f t="shared" si="16"/>
        <v>#REF!</v>
      </c>
      <c r="H24" s="5" t="e">
        <f t="shared" si="16"/>
        <v>#REF!</v>
      </c>
      <c r="I24" s="5" t="e">
        <f t="shared" si="16"/>
        <v>#REF!</v>
      </c>
      <c r="J24" s="5" t="e">
        <f t="shared" si="16"/>
        <v>#REF!</v>
      </c>
      <c r="K24" s="5" t="e">
        <f t="shared" si="16"/>
        <v>#REF!</v>
      </c>
      <c r="L24" s="5" t="e">
        <f t="shared" si="16"/>
        <v>#REF!</v>
      </c>
      <c r="M24" s="5" t="e">
        <f t="shared" si="16"/>
        <v>#REF!</v>
      </c>
      <c r="N24" s="5" t="e">
        <f t="shared" si="16"/>
        <v>#REF!</v>
      </c>
      <c r="O24" s="5" t="e">
        <f t="shared" si="16"/>
        <v>#REF!</v>
      </c>
      <c r="P24" s="5" t="e">
        <f t="shared" si="16"/>
        <v>#REF!</v>
      </c>
      <c r="Q24" s="5" t="e">
        <f t="shared" si="16"/>
        <v>#REF!</v>
      </c>
      <c r="R24" s="5" t="e">
        <f t="shared" si="16"/>
        <v>#REF!</v>
      </c>
      <c r="S24" s="5" t="e">
        <f>+S23*S22</f>
        <v>#REF!</v>
      </c>
      <c r="T24" s="5" t="e">
        <f t="shared" ref="T24:AC24" si="17">+T23*T22</f>
        <v>#REF!</v>
      </c>
      <c r="U24" s="5" t="e">
        <f t="shared" si="17"/>
        <v>#REF!</v>
      </c>
      <c r="V24" s="5" t="e">
        <f t="shared" si="17"/>
        <v>#REF!</v>
      </c>
      <c r="W24" s="5" t="e">
        <f t="shared" si="17"/>
        <v>#REF!</v>
      </c>
      <c r="X24" s="5" t="e">
        <f t="shared" si="17"/>
        <v>#REF!</v>
      </c>
      <c r="Y24" s="5" t="e">
        <f t="shared" si="17"/>
        <v>#REF!</v>
      </c>
      <c r="Z24" s="5" t="e">
        <f t="shared" si="17"/>
        <v>#REF!</v>
      </c>
      <c r="AA24" s="5" t="e">
        <f t="shared" si="17"/>
        <v>#REF!</v>
      </c>
      <c r="AB24" s="5" t="e">
        <f t="shared" si="17"/>
        <v>#REF!</v>
      </c>
      <c r="AC24" s="5" t="e">
        <f t="shared" si="17"/>
        <v>#REF!</v>
      </c>
    </row>
    <row r="25" spans="2:29" x14ac:dyDescent="0.25">
      <c r="B25" s="202" t="s">
        <v>164</v>
      </c>
      <c r="C25" s="202"/>
      <c r="D25" s="5">
        <f>+SUM(D21:AC21)</f>
        <v>1806623.468538</v>
      </c>
    </row>
    <row r="26" spans="2:29" x14ac:dyDescent="0.25">
      <c r="D26" s="7"/>
    </row>
    <row r="27" spans="2:29" x14ac:dyDescent="0.25">
      <c r="C27" t="s">
        <v>149</v>
      </c>
      <c r="D27" s="81" t="e">
        <f>+IRR(D24:AC24)</f>
        <v>#VALUE!</v>
      </c>
    </row>
    <row r="29" spans="2:29" x14ac:dyDescent="0.25">
      <c r="E29" t="s">
        <v>151</v>
      </c>
      <c r="F29" t="s">
        <v>152</v>
      </c>
    </row>
    <row r="30" spans="2:29" x14ac:dyDescent="0.25">
      <c r="D30" s="5"/>
      <c r="E30" s="8">
        <v>5.0000000000000001E-3</v>
      </c>
      <c r="F30" s="5" t="e">
        <f t="shared" ref="F30:F35" si="18">+NPV(E30,$E$24:$AC$24)+$D$24</f>
        <v>#REF!</v>
      </c>
    </row>
    <row r="31" spans="2:29" x14ac:dyDescent="0.25">
      <c r="D31" s="5"/>
      <c r="E31" s="8">
        <f>+E30+0.01</f>
        <v>1.4999999999999999E-2</v>
      </c>
      <c r="F31" s="5" t="e">
        <f t="shared" si="18"/>
        <v>#REF!</v>
      </c>
    </row>
    <row r="32" spans="2:29" x14ac:dyDescent="0.25">
      <c r="D32" s="5"/>
      <c r="E32" s="8">
        <f t="shared" ref="E32:E35" si="19">+E31+0.01</f>
        <v>2.5000000000000001E-2</v>
      </c>
      <c r="F32" s="5" t="e">
        <f t="shared" si="18"/>
        <v>#REF!</v>
      </c>
    </row>
    <row r="33" spans="3:6" x14ac:dyDescent="0.25">
      <c r="D33" s="5"/>
      <c r="E33" s="8">
        <f t="shared" si="19"/>
        <v>3.5000000000000003E-2</v>
      </c>
      <c r="F33" s="5" t="e">
        <f t="shared" si="18"/>
        <v>#REF!</v>
      </c>
    </row>
    <row r="34" spans="3:6" x14ac:dyDescent="0.25">
      <c r="D34" s="5"/>
      <c r="E34" s="8">
        <f t="shared" si="19"/>
        <v>4.5000000000000005E-2</v>
      </c>
      <c r="F34" s="5" t="e">
        <f t="shared" si="18"/>
        <v>#REF!</v>
      </c>
    </row>
    <row r="35" spans="3:6" x14ac:dyDescent="0.25">
      <c r="D35" s="5"/>
      <c r="E35" s="8">
        <f t="shared" si="19"/>
        <v>5.5000000000000007E-2</v>
      </c>
      <c r="F35" s="5" t="e">
        <f t="shared" si="18"/>
        <v>#REF!</v>
      </c>
    </row>
    <row r="36" spans="3:6" x14ac:dyDescent="0.25">
      <c r="D36" s="5"/>
      <c r="E36" s="8"/>
      <c r="F36" s="5"/>
    </row>
    <row r="37" spans="3:6" x14ac:dyDescent="0.25">
      <c r="D37" s="5"/>
      <c r="E37" s="8"/>
      <c r="F37" s="5"/>
    </row>
    <row r="38" spans="3:6" x14ac:dyDescent="0.25">
      <c r="D38" s="5"/>
      <c r="E38" s="8"/>
      <c r="F38" s="5"/>
    </row>
    <row r="39" spans="3:6" x14ac:dyDescent="0.25">
      <c r="D39" s="5"/>
      <c r="E39" s="8"/>
      <c r="F39" s="5"/>
    </row>
    <row r="40" spans="3:6" x14ac:dyDescent="0.25">
      <c r="D40" s="5"/>
      <c r="E40" s="8"/>
      <c r="F40" s="5"/>
    </row>
    <row r="41" spans="3:6" x14ac:dyDescent="0.25">
      <c r="C41" s="7"/>
      <c r="E41" s="8"/>
      <c r="F41" s="5"/>
    </row>
    <row r="42" spans="3:6" x14ac:dyDescent="0.25">
      <c r="E42" s="8"/>
      <c r="F42" s="5"/>
    </row>
    <row r="43" spans="3:6" x14ac:dyDescent="0.25">
      <c r="E43" s="8"/>
      <c r="F43" s="5"/>
    </row>
    <row r="44" spans="3:6" x14ac:dyDescent="0.25">
      <c r="E44" s="8"/>
      <c r="F44" s="5"/>
    </row>
    <row r="45" spans="3:6" x14ac:dyDescent="0.25">
      <c r="E45" s="8"/>
      <c r="F45" s="5"/>
    </row>
    <row r="46" spans="3:6" x14ac:dyDescent="0.25">
      <c r="E46" s="8"/>
      <c r="F46" s="5"/>
    </row>
    <row r="47" spans="3:6" x14ac:dyDescent="0.25">
      <c r="E47" s="8"/>
      <c r="F47" s="5"/>
    </row>
    <row r="48" spans="3:6" x14ac:dyDescent="0.25">
      <c r="E48" s="8"/>
      <c r="F48" s="5"/>
    </row>
    <row r="49" spans="5:6" x14ac:dyDescent="0.25">
      <c r="E49" s="8"/>
      <c r="F49" s="5"/>
    </row>
    <row r="50" spans="5:6" x14ac:dyDescent="0.25">
      <c r="E50" s="8"/>
      <c r="F50" s="5"/>
    </row>
    <row r="51" spans="5:6" x14ac:dyDescent="0.25">
      <c r="E51" s="8"/>
      <c r="F51" s="5"/>
    </row>
    <row r="52" spans="5:6" x14ac:dyDescent="0.25">
      <c r="E52" s="8"/>
      <c r="F52" s="5"/>
    </row>
    <row r="53" spans="5:6" x14ac:dyDescent="0.25">
      <c r="E53" s="8"/>
      <c r="F53" s="5"/>
    </row>
    <row r="54" spans="5:6" x14ac:dyDescent="0.25">
      <c r="E54" s="8"/>
      <c r="F54" s="5"/>
    </row>
    <row r="55" spans="5:6" x14ac:dyDescent="0.25">
      <c r="E55" s="8"/>
      <c r="F55" s="5"/>
    </row>
    <row r="56" spans="5:6" x14ac:dyDescent="0.25">
      <c r="E56" s="8"/>
      <c r="F56" s="5"/>
    </row>
  </sheetData>
  <mergeCells count="7">
    <mergeCell ref="B25:C25"/>
    <mergeCell ref="B3:B7"/>
    <mergeCell ref="B10:B16"/>
    <mergeCell ref="B17:B21"/>
    <mergeCell ref="B22:C22"/>
    <mergeCell ref="B23:C23"/>
    <mergeCell ref="B24:C2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4C9C-03D5-4BC3-9F50-3F4C53C31FCE}">
  <dimension ref="B1:AC73"/>
  <sheetViews>
    <sheetView showGridLines="0" workbookViewId="0">
      <selection activeCell="C10" sqref="C10:C11"/>
    </sheetView>
  </sheetViews>
  <sheetFormatPr baseColWidth="10" defaultColWidth="11.42578125" defaultRowHeight="15" x14ac:dyDescent="0.25"/>
  <cols>
    <col min="1" max="1" width="5.28515625" customWidth="1"/>
    <col min="3" max="3" width="31.140625" bestFit="1" customWidth="1"/>
    <col min="4" max="4" width="17.7109375" bestFit="1" customWidth="1"/>
    <col min="5" max="6" width="12.28515625" bestFit="1" customWidth="1"/>
    <col min="7" max="7" width="19.28515625" bestFit="1" customWidth="1"/>
    <col min="8" max="8" width="12.28515625" bestFit="1" customWidth="1"/>
    <col min="9" max="9" width="14.7109375" bestFit="1" customWidth="1"/>
    <col min="10" max="12" width="12.28515625" bestFit="1" customWidth="1"/>
    <col min="13" max="13" width="18.5703125" customWidth="1"/>
    <col min="14" max="14" width="15.140625" bestFit="1" customWidth="1"/>
  </cols>
  <sheetData>
    <row r="1" spans="2:29" x14ac:dyDescent="0.25">
      <c r="D1" s="12"/>
    </row>
    <row r="2" spans="2:29" x14ac:dyDescent="0.25">
      <c r="B2" s="80"/>
      <c r="C2" s="80" t="s">
        <v>126</v>
      </c>
      <c r="D2" s="80">
        <v>0</v>
      </c>
      <c r="E2" s="80">
        <v>1</v>
      </c>
      <c r="F2" s="80">
        <v>2</v>
      </c>
      <c r="G2" s="80">
        <v>3</v>
      </c>
      <c r="H2" s="80">
        <v>4</v>
      </c>
      <c r="I2" s="80">
        <v>5</v>
      </c>
      <c r="J2" s="80">
        <v>6</v>
      </c>
      <c r="K2" s="80">
        <v>7</v>
      </c>
      <c r="L2" s="80">
        <v>8</v>
      </c>
      <c r="M2" s="80">
        <v>9</v>
      </c>
      <c r="N2" s="80">
        <v>10</v>
      </c>
      <c r="O2" s="80">
        <v>11</v>
      </c>
      <c r="P2" s="80">
        <v>12</v>
      </c>
      <c r="Q2" s="80">
        <v>13</v>
      </c>
      <c r="R2" s="80">
        <v>14</v>
      </c>
      <c r="S2" s="80">
        <v>15</v>
      </c>
      <c r="T2" s="80">
        <v>16</v>
      </c>
      <c r="U2" s="80">
        <v>17</v>
      </c>
      <c r="V2" s="80">
        <v>18</v>
      </c>
      <c r="W2" s="80">
        <v>19</v>
      </c>
      <c r="X2" s="80">
        <v>20</v>
      </c>
      <c r="Y2" s="80">
        <v>21</v>
      </c>
      <c r="Z2" s="80">
        <v>22</v>
      </c>
      <c r="AA2" s="80">
        <v>23</v>
      </c>
      <c r="AB2" s="80">
        <v>24</v>
      </c>
      <c r="AC2" s="80">
        <v>25</v>
      </c>
    </row>
    <row r="3" spans="2:29" x14ac:dyDescent="0.25">
      <c r="B3" s="201" t="s">
        <v>127</v>
      </c>
      <c r="C3" s="40" t="s">
        <v>165</v>
      </c>
      <c r="D3" s="40">
        <v>0</v>
      </c>
      <c r="E3" s="42" t="e">
        <f>+Capacidad!#REF!</f>
        <v>#REF!</v>
      </c>
      <c r="F3" s="42" t="e">
        <f>+E3</f>
        <v>#REF!</v>
      </c>
      <c r="G3" s="42" t="e">
        <f t="shared" ref="G3:AC3" si="0">+F3</f>
        <v>#REF!</v>
      </c>
      <c r="H3" s="42" t="e">
        <f t="shared" si="0"/>
        <v>#REF!</v>
      </c>
      <c r="I3" s="42" t="e">
        <f t="shared" si="0"/>
        <v>#REF!</v>
      </c>
      <c r="J3" s="42" t="e">
        <f t="shared" si="0"/>
        <v>#REF!</v>
      </c>
      <c r="K3" s="42" t="e">
        <f t="shared" si="0"/>
        <v>#REF!</v>
      </c>
      <c r="L3" s="42" t="e">
        <f t="shared" si="0"/>
        <v>#REF!</v>
      </c>
      <c r="M3" s="42" t="e">
        <f t="shared" si="0"/>
        <v>#REF!</v>
      </c>
      <c r="N3" s="42" t="e">
        <f t="shared" si="0"/>
        <v>#REF!</v>
      </c>
      <c r="O3" s="42" t="e">
        <f t="shared" si="0"/>
        <v>#REF!</v>
      </c>
      <c r="P3" s="42" t="e">
        <f t="shared" si="0"/>
        <v>#REF!</v>
      </c>
      <c r="Q3" s="42" t="e">
        <f t="shared" si="0"/>
        <v>#REF!</v>
      </c>
      <c r="R3" s="42" t="e">
        <f t="shared" si="0"/>
        <v>#REF!</v>
      </c>
      <c r="S3" s="42" t="e">
        <f t="shared" si="0"/>
        <v>#REF!</v>
      </c>
      <c r="T3" s="42" t="e">
        <f t="shared" si="0"/>
        <v>#REF!</v>
      </c>
      <c r="U3" s="42" t="e">
        <f t="shared" si="0"/>
        <v>#REF!</v>
      </c>
      <c r="V3" s="42" t="e">
        <f t="shared" si="0"/>
        <v>#REF!</v>
      </c>
      <c r="W3" s="42" t="e">
        <f t="shared" si="0"/>
        <v>#REF!</v>
      </c>
      <c r="X3" s="42" t="e">
        <f t="shared" si="0"/>
        <v>#REF!</v>
      </c>
      <c r="Y3" s="42" t="e">
        <f t="shared" si="0"/>
        <v>#REF!</v>
      </c>
      <c r="Z3" s="42" t="e">
        <f t="shared" si="0"/>
        <v>#REF!</v>
      </c>
      <c r="AA3" s="42" t="e">
        <f t="shared" si="0"/>
        <v>#REF!</v>
      </c>
      <c r="AB3" s="42" t="e">
        <f t="shared" si="0"/>
        <v>#REF!</v>
      </c>
      <c r="AC3" s="42" t="e">
        <f t="shared" si="0"/>
        <v>#REF!</v>
      </c>
    </row>
    <row r="4" spans="2:29" x14ac:dyDescent="0.25">
      <c r="B4" s="201"/>
      <c r="C4" s="40" t="s">
        <v>129</v>
      </c>
      <c r="D4" s="43">
        <f>+LCOH!O38</f>
        <v>9.6320478523290287</v>
      </c>
      <c r="E4" s="43">
        <f>+D4*1.05</f>
        <v>10.113650244945481</v>
      </c>
      <c r="F4" s="43">
        <f t="shared" ref="F4:AC4" si="1">+E4*1.05</f>
        <v>10.619332757192755</v>
      </c>
      <c r="G4" s="43">
        <f t="shared" si="1"/>
        <v>11.150299395052393</v>
      </c>
      <c r="H4" s="43">
        <f t="shared" si="1"/>
        <v>11.707814364805014</v>
      </c>
      <c r="I4" s="43">
        <f t="shared" si="1"/>
        <v>12.293205083045265</v>
      </c>
      <c r="J4" s="43">
        <f t="shared" si="1"/>
        <v>12.90786533719753</v>
      </c>
      <c r="K4" s="43">
        <f t="shared" si="1"/>
        <v>13.553258604057406</v>
      </c>
      <c r="L4" s="43">
        <f t="shared" si="1"/>
        <v>14.230921534260277</v>
      </c>
      <c r="M4" s="43">
        <f t="shared" si="1"/>
        <v>14.942467610973292</v>
      </c>
      <c r="N4" s="43">
        <f t="shared" si="1"/>
        <v>15.689590991521957</v>
      </c>
      <c r="O4" s="43">
        <f t="shared" si="1"/>
        <v>16.474070541098055</v>
      </c>
      <c r="P4" s="43">
        <f t="shared" si="1"/>
        <v>17.297774068152957</v>
      </c>
      <c r="Q4" s="43">
        <f t="shared" si="1"/>
        <v>18.162662771560605</v>
      </c>
      <c r="R4" s="43">
        <f t="shared" si="1"/>
        <v>19.070795910138635</v>
      </c>
      <c r="S4" s="43">
        <f t="shared" si="1"/>
        <v>20.024335705645569</v>
      </c>
      <c r="T4" s="43">
        <f t="shared" si="1"/>
        <v>21.025552490927847</v>
      </c>
      <c r="U4" s="43">
        <f t="shared" si="1"/>
        <v>22.076830115474241</v>
      </c>
      <c r="V4" s="43">
        <f t="shared" si="1"/>
        <v>23.180671621247953</v>
      </c>
      <c r="W4" s="43">
        <f t="shared" si="1"/>
        <v>24.339705202310352</v>
      </c>
      <c r="X4" s="43">
        <f t="shared" si="1"/>
        <v>25.55669046242587</v>
      </c>
      <c r="Y4" s="43">
        <f t="shared" si="1"/>
        <v>26.834524985547166</v>
      </c>
      <c r="Z4" s="43">
        <f t="shared" si="1"/>
        <v>28.176251234824527</v>
      </c>
      <c r="AA4" s="43">
        <f t="shared" si="1"/>
        <v>29.585063796565755</v>
      </c>
      <c r="AB4" s="43">
        <f t="shared" si="1"/>
        <v>31.064316986394044</v>
      </c>
      <c r="AC4" s="43">
        <f t="shared" si="1"/>
        <v>32.617532835713746</v>
      </c>
    </row>
    <row r="5" spans="2:29" x14ac:dyDescent="0.25">
      <c r="B5" s="201"/>
      <c r="C5" s="40" t="s">
        <v>159</v>
      </c>
      <c r="D5" s="44">
        <f>+D4*D3</f>
        <v>0</v>
      </c>
      <c r="E5" s="44" t="e">
        <f>+E4*E3</f>
        <v>#REF!</v>
      </c>
      <c r="F5" s="44" t="e">
        <f>+F4*F3</f>
        <v>#REF!</v>
      </c>
      <c r="G5" s="44" t="e">
        <f t="shared" ref="G5:M5" si="2">+G4*G3</f>
        <v>#REF!</v>
      </c>
      <c r="H5" s="44" t="e">
        <f t="shared" si="2"/>
        <v>#REF!</v>
      </c>
      <c r="I5" s="44" t="e">
        <f t="shared" si="2"/>
        <v>#REF!</v>
      </c>
      <c r="J5" s="44" t="e">
        <f t="shared" si="2"/>
        <v>#REF!</v>
      </c>
      <c r="K5" s="44" t="e">
        <f t="shared" si="2"/>
        <v>#REF!</v>
      </c>
      <c r="L5" s="44" t="e">
        <f t="shared" si="2"/>
        <v>#REF!</v>
      </c>
      <c r="M5" s="44" t="e">
        <f t="shared" si="2"/>
        <v>#REF!</v>
      </c>
      <c r="N5" s="44" t="e">
        <f>+N4*N3</f>
        <v>#REF!</v>
      </c>
      <c r="O5" s="44" t="e">
        <f t="shared" ref="O5:AC5" si="3">+O4*O3</f>
        <v>#REF!</v>
      </c>
      <c r="P5" s="44" t="e">
        <f t="shared" si="3"/>
        <v>#REF!</v>
      </c>
      <c r="Q5" s="44" t="e">
        <f t="shared" si="3"/>
        <v>#REF!</v>
      </c>
      <c r="R5" s="44" t="e">
        <f t="shared" si="3"/>
        <v>#REF!</v>
      </c>
      <c r="S5" s="44" t="e">
        <f t="shared" si="3"/>
        <v>#REF!</v>
      </c>
      <c r="T5" s="44" t="e">
        <f t="shared" si="3"/>
        <v>#REF!</v>
      </c>
      <c r="U5" s="44" t="e">
        <f t="shared" si="3"/>
        <v>#REF!</v>
      </c>
      <c r="V5" s="44" t="e">
        <f t="shared" si="3"/>
        <v>#REF!</v>
      </c>
      <c r="W5" s="44" t="e">
        <f t="shared" si="3"/>
        <v>#REF!</v>
      </c>
      <c r="X5" s="44" t="e">
        <f t="shared" si="3"/>
        <v>#REF!</v>
      </c>
      <c r="Y5" s="44" t="e">
        <f t="shared" si="3"/>
        <v>#REF!</v>
      </c>
      <c r="Z5" s="44" t="e">
        <f t="shared" si="3"/>
        <v>#REF!</v>
      </c>
      <c r="AA5" s="44" t="e">
        <f t="shared" si="3"/>
        <v>#REF!</v>
      </c>
      <c r="AB5" s="44" t="e">
        <f t="shared" si="3"/>
        <v>#REF!</v>
      </c>
      <c r="AC5" s="44" t="e">
        <f t="shared" si="3"/>
        <v>#REF!</v>
      </c>
    </row>
    <row r="6" spans="2:29" hidden="1" x14ac:dyDescent="0.25">
      <c r="B6" s="201"/>
      <c r="C6" s="40" t="s">
        <v>131</v>
      </c>
      <c r="D6" s="44">
        <v>0</v>
      </c>
      <c r="E6" s="44">
        <v>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44">
        <v>0</v>
      </c>
      <c r="V6" s="44">
        <v>0</v>
      </c>
      <c r="W6" s="44">
        <v>0</v>
      </c>
      <c r="X6" s="44">
        <v>0</v>
      </c>
      <c r="Y6" s="44">
        <v>0</v>
      </c>
      <c r="Z6" s="44">
        <v>0</v>
      </c>
      <c r="AA6" s="44">
        <v>0</v>
      </c>
      <c r="AB6" s="44">
        <v>0</v>
      </c>
      <c r="AC6" s="44">
        <v>0</v>
      </c>
    </row>
    <row r="7" spans="2:29" x14ac:dyDescent="0.25">
      <c r="B7" s="201"/>
      <c r="C7" s="45" t="s">
        <v>105</v>
      </c>
      <c r="D7" s="46">
        <f>+SUM(D5:D6)</f>
        <v>0</v>
      </c>
      <c r="E7" s="46" t="e">
        <f>+SUM(E5:E6)</f>
        <v>#REF!</v>
      </c>
      <c r="F7" s="46" t="e">
        <f>+SUM(F5:F6)</f>
        <v>#REF!</v>
      </c>
      <c r="G7" s="46" t="e">
        <f t="shared" ref="G7:AC7" si="4">+SUM(G5:G6)</f>
        <v>#REF!</v>
      </c>
      <c r="H7" s="46" t="e">
        <f t="shared" si="4"/>
        <v>#REF!</v>
      </c>
      <c r="I7" s="46" t="e">
        <f t="shared" si="4"/>
        <v>#REF!</v>
      </c>
      <c r="J7" s="46" t="e">
        <f t="shared" si="4"/>
        <v>#REF!</v>
      </c>
      <c r="K7" s="46" t="e">
        <f t="shared" si="4"/>
        <v>#REF!</v>
      </c>
      <c r="L7" s="46" t="e">
        <f t="shared" si="4"/>
        <v>#REF!</v>
      </c>
      <c r="M7" s="46" t="e">
        <f t="shared" si="4"/>
        <v>#REF!</v>
      </c>
      <c r="N7" s="46" t="e">
        <f t="shared" si="4"/>
        <v>#REF!</v>
      </c>
      <c r="O7" s="46" t="e">
        <f t="shared" si="4"/>
        <v>#REF!</v>
      </c>
      <c r="P7" s="46" t="e">
        <f t="shared" si="4"/>
        <v>#REF!</v>
      </c>
      <c r="Q7" s="46" t="e">
        <f t="shared" si="4"/>
        <v>#REF!</v>
      </c>
      <c r="R7" s="46" t="e">
        <f t="shared" si="4"/>
        <v>#REF!</v>
      </c>
      <c r="S7" s="46" t="e">
        <f t="shared" si="4"/>
        <v>#REF!</v>
      </c>
      <c r="T7" s="46" t="e">
        <f t="shared" si="4"/>
        <v>#REF!</v>
      </c>
      <c r="U7" s="46" t="e">
        <f t="shared" si="4"/>
        <v>#REF!</v>
      </c>
      <c r="V7" s="46" t="e">
        <f t="shared" si="4"/>
        <v>#REF!</v>
      </c>
      <c r="W7" s="46" t="e">
        <f t="shared" si="4"/>
        <v>#REF!</v>
      </c>
      <c r="X7" s="46" t="e">
        <f t="shared" si="4"/>
        <v>#REF!</v>
      </c>
      <c r="Y7" s="46" t="e">
        <f t="shared" si="4"/>
        <v>#REF!</v>
      </c>
      <c r="Z7" s="46" t="e">
        <f t="shared" si="4"/>
        <v>#REF!</v>
      </c>
      <c r="AA7" s="46" t="e">
        <f t="shared" si="4"/>
        <v>#REF!</v>
      </c>
      <c r="AB7" s="46" t="e">
        <f t="shared" si="4"/>
        <v>#REF!</v>
      </c>
      <c r="AC7" s="46" t="e">
        <f t="shared" si="4"/>
        <v>#REF!</v>
      </c>
    </row>
    <row r="8" spans="2:29" x14ac:dyDescent="0.25">
      <c r="B8" s="41"/>
      <c r="C8" s="45"/>
      <c r="D8" s="46">
        <f>+'DATOS '!F48*-1</f>
        <v>-6471988.3200000003</v>
      </c>
      <c r="E8" s="46" t="e">
        <f>+E7</f>
        <v>#REF!</v>
      </c>
      <c r="F8" s="46" t="e">
        <f t="shared" ref="F8:AC8" si="5">+F7</f>
        <v>#REF!</v>
      </c>
      <c r="G8" s="46" t="e">
        <f t="shared" si="5"/>
        <v>#REF!</v>
      </c>
      <c r="H8" s="46" t="e">
        <f t="shared" si="5"/>
        <v>#REF!</v>
      </c>
      <c r="I8" s="46" t="e">
        <f t="shared" si="5"/>
        <v>#REF!</v>
      </c>
      <c r="J8" s="46" t="e">
        <f t="shared" si="5"/>
        <v>#REF!</v>
      </c>
      <c r="K8" s="46" t="e">
        <f t="shared" si="5"/>
        <v>#REF!</v>
      </c>
      <c r="L8" s="46" t="e">
        <f t="shared" si="5"/>
        <v>#REF!</v>
      </c>
      <c r="M8" s="46" t="e">
        <f t="shared" si="5"/>
        <v>#REF!</v>
      </c>
      <c r="N8" s="46" t="e">
        <f t="shared" si="5"/>
        <v>#REF!</v>
      </c>
      <c r="O8" s="46" t="e">
        <f t="shared" si="5"/>
        <v>#REF!</v>
      </c>
      <c r="P8" s="46" t="e">
        <f t="shared" si="5"/>
        <v>#REF!</v>
      </c>
      <c r="Q8" s="46" t="e">
        <f t="shared" si="5"/>
        <v>#REF!</v>
      </c>
      <c r="R8" s="46" t="e">
        <f t="shared" si="5"/>
        <v>#REF!</v>
      </c>
      <c r="S8" s="46" t="e">
        <f t="shared" si="5"/>
        <v>#REF!</v>
      </c>
      <c r="T8" s="46" t="e">
        <f t="shared" si="5"/>
        <v>#REF!</v>
      </c>
      <c r="U8" s="46" t="e">
        <f t="shared" si="5"/>
        <v>#REF!</v>
      </c>
      <c r="V8" s="46" t="e">
        <f t="shared" si="5"/>
        <v>#REF!</v>
      </c>
      <c r="W8" s="46" t="e">
        <f t="shared" si="5"/>
        <v>#REF!</v>
      </c>
      <c r="X8" s="46" t="e">
        <f t="shared" si="5"/>
        <v>#REF!</v>
      </c>
      <c r="Y8" s="46" t="e">
        <f t="shared" si="5"/>
        <v>#REF!</v>
      </c>
      <c r="Z8" s="46" t="e">
        <f t="shared" si="5"/>
        <v>#REF!</v>
      </c>
      <c r="AA8" s="46" t="e">
        <f t="shared" si="5"/>
        <v>#REF!</v>
      </c>
      <c r="AB8" s="46" t="e">
        <f t="shared" si="5"/>
        <v>#REF!</v>
      </c>
      <c r="AC8" s="46" t="e">
        <f t="shared" si="5"/>
        <v>#REF!</v>
      </c>
    </row>
    <row r="9" spans="2:29" x14ac:dyDescent="0.25">
      <c r="C9" t="s">
        <v>160</v>
      </c>
      <c r="D9" s="39">
        <f>+D8*-1</f>
        <v>6471988.3200000003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29" x14ac:dyDescent="0.25">
      <c r="B10" s="200" t="s">
        <v>132</v>
      </c>
      <c r="C10" s="47" t="s">
        <v>104</v>
      </c>
      <c r="D10" s="48">
        <v>0</v>
      </c>
      <c r="E10" s="48">
        <f>+Capacidad!O6*1</f>
        <v>1.6850232558139534E-2</v>
      </c>
      <c r="F10" s="48">
        <f>+E10</f>
        <v>1.6850232558139534E-2</v>
      </c>
      <c r="G10" s="48">
        <f t="shared" ref="G10:AC10" si="6">+F10</f>
        <v>1.6850232558139534E-2</v>
      </c>
      <c r="H10" s="48">
        <f t="shared" si="6"/>
        <v>1.6850232558139534E-2</v>
      </c>
      <c r="I10" s="48">
        <f t="shared" si="6"/>
        <v>1.6850232558139534E-2</v>
      </c>
      <c r="J10" s="48">
        <f t="shared" si="6"/>
        <v>1.6850232558139534E-2</v>
      </c>
      <c r="K10" s="48">
        <f t="shared" si="6"/>
        <v>1.6850232558139534E-2</v>
      </c>
      <c r="L10" s="48">
        <f t="shared" si="6"/>
        <v>1.6850232558139534E-2</v>
      </c>
      <c r="M10" s="48">
        <f t="shared" si="6"/>
        <v>1.6850232558139534E-2</v>
      </c>
      <c r="N10" s="48">
        <f t="shared" si="6"/>
        <v>1.6850232558139534E-2</v>
      </c>
      <c r="O10" s="48">
        <f t="shared" si="6"/>
        <v>1.6850232558139534E-2</v>
      </c>
      <c r="P10" s="48">
        <f t="shared" si="6"/>
        <v>1.6850232558139534E-2</v>
      </c>
      <c r="Q10" s="48">
        <f t="shared" si="6"/>
        <v>1.6850232558139534E-2</v>
      </c>
      <c r="R10" s="48">
        <f t="shared" si="6"/>
        <v>1.6850232558139534E-2</v>
      </c>
      <c r="S10" s="48">
        <f t="shared" si="6"/>
        <v>1.6850232558139534E-2</v>
      </c>
      <c r="T10" s="48">
        <f t="shared" si="6"/>
        <v>1.6850232558139534E-2</v>
      </c>
      <c r="U10" s="48">
        <f t="shared" si="6"/>
        <v>1.6850232558139534E-2</v>
      </c>
      <c r="V10" s="48">
        <f t="shared" si="6"/>
        <v>1.6850232558139534E-2</v>
      </c>
      <c r="W10" s="48">
        <f t="shared" si="6"/>
        <v>1.6850232558139534E-2</v>
      </c>
      <c r="X10" s="48">
        <f t="shared" si="6"/>
        <v>1.6850232558139534E-2</v>
      </c>
      <c r="Y10" s="48">
        <f t="shared" si="6"/>
        <v>1.6850232558139534E-2</v>
      </c>
      <c r="Z10" s="48">
        <f t="shared" si="6"/>
        <v>1.6850232558139534E-2</v>
      </c>
      <c r="AA10" s="48">
        <f t="shared" si="6"/>
        <v>1.6850232558139534E-2</v>
      </c>
      <c r="AB10" s="48">
        <f t="shared" si="6"/>
        <v>1.6850232558139534E-2</v>
      </c>
      <c r="AC10" s="48">
        <f t="shared" si="6"/>
        <v>1.6850232558139534E-2</v>
      </c>
    </row>
    <row r="11" spans="2:29" x14ac:dyDescent="0.25">
      <c r="B11" s="200"/>
      <c r="C11" s="47" t="s">
        <v>102</v>
      </c>
      <c r="D11" s="48">
        <v>0</v>
      </c>
      <c r="E11" s="48" t="e">
        <f>+Capacidad!#REF!*LCOH!#REF!</f>
        <v>#REF!</v>
      </c>
      <c r="F11" s="48" t="e">
        <f>+E11</f>
        <v>#REF!</v>
      </c>
      <c r="G11" s="48" t="e">
        <f t="shared" ref="G11:AC11" si="7">+F11</f>
        <v>#REF!</v>
      </c>
      <c r="H11" s="48" t="e">
        <f t="shared" si="7"/>
        <v>#REF!</v>
      </c>
      <c r="I11" s="48" t="e">
        <f t="shared" si="7"/>
        <v>#REF!</v>
      </c>
      <c r="J11" s="48" t="e">
        <f t="shared" si="7"/>
        <v>#REF!</v>
      </c>
      <c r="K11" s="48" t="e">
        <f t="shared" si="7"/>
        <v>#REF!</v>
      </c>
      <c r="L11" s="48" t="e">
        <f t="shared" si="7"/>
        <v>#REF!</v>
      </c>
      <c r="M11" s="48" t="e">
        <f t="shared" si="7"/>
        <v>#REF!</v>
      </c>
      <c r="N11" s="48" t="e">
        <f t="shared" si="7"/>
        <v>#REF!</v>
      </c>
      <c r="O11" s="48" t="e">
        <f t="shared" si="7"/>
        <v>#REF!</v>
      </c>
      <c r="P11" s="48" t="e">
        <f t="shared" si="7"/>
        <v>#REF!</v>
      </c>
      <c r="Q11" s="48" t="e">
        <f t="shared" si="7"/>
        <v>#REF!</v>
      </c>
      <c r="R11" s="48" t="e">
        <f t="shared" si="7"/>
        <v>#REF!</v>
      </c>
      <c r="S11" s="48" t="e">
        <f t="shared" si="7"/>
        <v>#REF!</v>
      </c>
      <c r="T11" s="48" t="e">
        <f t="shared" si="7"/>
        <v>#REF!</v>
      </c>
      <c r="U11" s="48" t="e">
        <f t="shared" si="7"/>
        <v>#REF!</v>
      </c>
      <c r="V11" s="48" t="e">
        <f t="shared" si="7"/>
        <v>#REF!</v>
      </c>
      <c r="W11" s="48" t="e">
        <f t="shared" si="7"/>
        <v>#REF!</v>
      </c>
      <c r="X11" s="48" t="e">
        <f t="shared" si="7"/>
        <v>#REF!</v>
      </c>
      <c r="Y11" s="48" t="e">
        <f t="shared" si="7"/>
        <v>#REF!</v>
      </c>
      <c r="Z11" s="48" t="e">
        <f t="shared" si="7"/>
        <v>#REF!</v>
      </c>
      <c r="AA11" s="48" t="e">
        <f t="shared" si="7"/>
        <v>#REF!</v>
      </c>
      <c r="AB11" s="48" t="e">
        <f t="shared" si="7"/>
        <v>#REF!</v>
      </c>
      <c r="AC11" s="48" t="e">
        <f t="shared" si="7"/>
        <v>#REF!</v>
      </c>
    </row>
    <row r="12" spans="2:29" x14ac:dyDescent="0.25">
      <c r="B12" s="200"/>
      <c r="C12" s="47" t="s">
        <v>161</v>
      </c>
      <c r="D12" s="48">
        <f>+'DATOS '!F44</f>
        <v>288928.05</v>
      </c>
      <c r="E12" s="48">
        <f>+D12*1.03</f>
        <v>297595.89149999997</v>
      </c>
      <c r="F12" s="48">
        <f>+E12*1.03</f>
        <v>306523.76824499998</v>
      </c>
      <c r="G12" s="48">
        <f>+F12*1.03</f>
        <v>315719.48129234998</v>
      </c>
      <c r="H12" s="48">
        <f t="shared" ref="H12:N13" si="8">+G12*1.03</f>
        <v>325191.06573112047</v>
      </c>
      <c r="I12" s="48">
        <f t="shared" si="8"/>
        <v>334946.79770305409</v>
      </c>
      <c r="J12" s="48">
        <f t="shared" si="8"/>
        <v>344995.20163414575</v>
      </c>
      <c r="K12" s="48">
        <f t="shared" si="8"/>
        <v>355345.05768317013</v>
      </c>
      <c r="L12" s="48">
        <f t="shared" si="8"/>
        <v>366005.40941366524</v>
      </c>
      <c r="M12" s="48">
        <f t="shared" si="8"/>
        <v>376985.5716960752</v>
      </c>
      <c r="N12" s="48">
        <f>+M12*1.03</f>
        <v>388295.13884695747</v>
      </c>
      <c r="O12" s="48">
        <f t="shared" ref="O12:AC13" si="9">+N12*1.03</f>
        <v>399943.99301236623</v>
      </c>
      <c r="P12" s="48">
        <f t="shared" si="9"/>
        <v>411942.31280273723</v>
      </c>
      <c r="Q12" s="48">
        <f t="shared" si="9"/>
        <v>424300.58218681935</v>
      </c>
      <c r="R12" s="48">
        <f t="shared" si="9"/>
        <v>437029.59965242393</v>
      </c>
      <c r="S12" s="48">
        <f t="shared" si="9"/>
        <v>450140.48764199665</v>
      </c>
      <c r="T12" s="48">
        <f t="shared" si="9"/>
        <v>463644.70227125654</v>
      </c>
      <c r="U12" s="48">
        <f t="shared" si="9"/>
        <v>477554.04333939427</v>
      </c>
      <c r="V12" s="48">
        <f t="shared" si="9"/>
        <v>491880.66463957611</v>
      </c>
      <c r="W12" s="48">
        <f t="shared" si="9"/>
        <v>506637.0845787634</v>
      </c>
      <c r="X12" s="48">
        <f t="shared" si="9"/>
        <v>521836.19711612631</v>
      </c>
      <c r="Y12" s="48">
        <f t="shared" si="9"/>
        <v>537491.28302961006</v>
      </c>
      <c r="Z12" s="48">
        <f t="shared" si="9"/>
        <v>553616.02152049833</v>
      </c>
      <c r="AA12" s="48">
        <f t="shared" si="9"/>
        <v>570224.50216611323</v>
      </c>
      <c r="AB12" s="48">
        <f t="shared" si="9"/>
        <v>587331.2372310966</v>
      </c>
      <c r="AC12" s="48">
        <f t="shared" si="9"/>
        <v>604951.17434802954</v>
      </c>
    </row>
    <row r="13" spans="2:29" x14ac:dyDescent="0.25">
      <c r="B13" s="200"/>
      <c r="C13" s="47" t="s">
        <v>162</v>
      </c>
      <c r="D13" s="48"/>
      <c r="E13" s="48">
        <f>+'DATOS '!F45+'DATOS '!F46</f>
        <v>404499.27</v>
      </c>
      <c r="F13" s="48">
        <f>+E13*1.03</f>
        <v>416634.24810000003</v>
      </c>
      <c r="G13" s="48">
        <f t="shared" ref="G13" si="10">+F13*1.03</f>
        <v>429133.27554300003</v>
      </c>
      <c r="H13" s="48">
        <f t="shared" si="8"/>
        <v>442007.27380929003</v>
      </c>
      <c r="I13" s="48">
        <f t="shared" si="8"/>
        <v>455267.49202356872</v>
      </c>
      <c r="J13" s="48">
        <f t="shared" si="8"/>
        <v>468925.51678427577</v>
      </c>
      <c r="K13" s="48">
        <f t="shared" si="8"/>
        <v>482993.28228780406</v>
      </c>
      <c r="L13" s="48">
        <f t="shared" si="8"/>
        <v>497483.0807564382</v>
      </c>
      <c r="M13" s="48">
        <f t="shared" si="8"/>
        <v>512407.57317913137</v>
      </c>
      <c r="N13" s="48">
        <f t="shared" si="8"/>
        <v>527779.80037450534</v>
      </c>
      <c r="O13" s="48">
        <f t="shared" si="9"/>
        <v>543613.19438574056</v>
      </c>
      <c r="P13" s="48">
        <f t="shared" si="9"/>
        <v>559921.5902173128</v>
      </c>
      <c r="Q13" s="48">
        <f t="shared" si="9"/>
        <v>576719.23792383214</v>
      </c>
      <c r="R13" s="48">
        <f t="shared" si="9"/>
        <v>594020.81506154709</v>
      </c>
      <c r="S13" s="48">
        <f t="shared" si="9"/>
        <v>611841.43951339356</v>
      </c>
      <c r="T13" s="48">
        <f t="shared" si="9"/>
        <v>630196.68269879534</v>
      </c>
      <c r="U13" s="48">
        <f t="shared" si="9"/>
        <v>649102.58317975921</v>
      </c>
      <c r="V13" s="48">
        <f t="shared" si="9"/>
        <v>668575.66067515197</v>
      </c>
      <c r="W13" s="48">
        <f t="shared" si="9"/>
        <v>688632.9304954065</v>
      </c>
      <c r="X13" s="48">
        <f t="shared" si="9"/>
        <v>709291.91841026873</v>
      </c>
      <c r="Y13" s="48">
        <f t="shared" si="9"/>
        <v>730570.67596257676</v>
      </c>
      <c r="Z13" s="48">
        <f t="shared" si="9"/>
        <v>752487.79624145408</v>
      </c>
      <c r="AA13" s="48">
        <f t="shared" si="9"/>
        <v>775062.43012869777</v>
      </c>
      <c r="AB13" s="48">
        <f t="shared" si="9"/>
        <v>798314.30303255876</v>
      </c>
      <c r="AC13" s="48">
        <f t="shared" si="9"/>
        <v>822263.73212353559</v>
      </c>
    </row>
    <row r="14" spans="2:29" hidden="1" x14ac:dyDescent="0.25">
      <c r="B14" s="200"/>
      <c r="C14" s="47" t="s">
        <v>137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</row>
    <row r="15" spans="2:29" hidden="1" x14ac:dyDescent="0.25">
      <c r="B15" s="200"/>
      <c r="C15" s="47" t="s">
        <v>138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</row>
    <row r="16" spans="2:29" x14ac:dyDescent="0.25">
      <c r="B16" s="200"/>
      <c r="C16" s="49" t="s">
        <v>105</v>
      </c>
      <c r="D16" s="50">
        <f>+SUM(D9:D15)</f>
        <v>6760916.3700000001</v>
      </c>
      <c r="E16" s="50">
        <f>+SUM(E12:E15)</f>
        <v>702095.16149999993</v>
      </c>
      <c r="F16" s="50">
        <f>+SUM(F12:F15)</f>
        <v>723158.01634500001</v>
      </c>
      <c r="G16" s="50">
        <f t="shared" ref="G16:AC16" si="11">+SUM(G12:G15)</f>
        <v>744852.75683535007</v>
      </c>
      <c r="H16" s="50">
        <f t="shared" si="11"/>
        <v>767198.33954041055</v>
      </c>
      <c r="I16" s="50">
        <f t="shared" si="11"/>
        <v>790214.28972662287</v>
      </c>
      <c r="J16" s="50">
        <f t="shared" si="11"/>
        <v>813920.71841842146</v>
      </c>
      <c r="K16" s="50">
        <f t="shared" si="11"/>
        <v>838338.33997097425</v>
      </c>
      <c r="L16" s="50">
        <f t="shared" si="11"/>
        <v>863488.4901701035</v>
      </c>
      <c r="M16" s="50">
        <f t="shared" si="11"/>
        <v>889393.14487520652</v>
      </c>
      <c r="N16" s="50">
        <f t="shared" si="11"/>
        <v>916074.93922146282</v>
      </c>
      <c r="O16" s="50">
        <f t="shared" si="11"/>
        <v>943557.18739810679</v>
      </c>
      <c r="P16" s="50">
        <f t="shared" si="11"/>
        <v>971863.90302005003</v>
      </c>
      <c r="Q16" s="50">
        <f t="shared" si="11"/>
        <v>1001019.8201106514</v>
      </c>
      <c r="R16" s="50">
        <f t="shared" si="11"/>
        <v>1031050.4147139711</v>
      </c>
      <c r="S16" s="50">
        <f t="shared" si="11"/>
        <v>1061981.9271553901</v>
      </c>
      <c r="T16" s="50">
        <f t="shared" si="11"/>
        <v>1093841.3849700519</v>
      </c>
      <c r="U16" s="50">
        <f t="shared" si="11"/>
        <v>1126656.6265191534</v>
      </c>
      <c r="V16" s="50">
        <f t="shared" si="11"/>
        <v>1160456.3253147281</v>
      </c>
      <c r="W16" s="50">
        <f t="shared" si="11"/>
        <v>1195270.01507417</v>
      </c>
      <c r="X16" s="50">
        <f t="shared" si="11"/>
        <v>1231128.1155263949</v>
      </c>
      <c r="Y16" s="50">
        <f t="shared" si="11"/>
        <v>1268061.9589921869</v>
      </c>
      <c r="Z16" s="50">
        <f t="shared" si="11"/>
        <v>1306103.8177619525</v>
      </c>
      <c r="AA16" s="50">
        <f t="shared" si="11"/>
        <v>1345286.9322948111</v>
      </c>
      <c r="AB16" s="50">
        <f t="shared" si="11"/>
        <v>1385645.5402636554</v>
      </c>
      <c r="AC16" s="50">
        <f t="shared" si="11"/>
        <v>1427214.9064715651</v>
      </c>
    </row>
    <row r="17" spans="2:29" x14ac:dyDescent="0.25">
      <c r="B17" s="197" t="s">
        <v>139</v>
      </c>
      <c r="C17" s="51" t="s">
        <v>140</v>
      </c>
      <c r="D17" s="52">
        <f>+'DATOS '!$K$26</f>
        <v>1627090</v>
      </c>
      <c r="E17" s="52">
        <f>+'DATOS '!$K$26</f>
        <v>1627090</v>
      </c>
      <c r="F17" s="52">
        <f>+'DATOS '!$K$26</f>
        <v>1627090</v>
      </c>
      <c r="G17" s="52">
        <f>+'DATOS '!$K$26</f>
        <v>1627090</v>
      </c>
      <c r="H17" s="52">
        <f>+'DATOS '!$K$26</f>
        <v>1627090</v>
      </c>
      <c r="I17" s="52">
        <f>+'DATOS '!$K$26</f>
        <v>1627090</v>
      </c>
      <c r="J17" s="52">
        <f>+'DATOS '!$K$26</f>
        <v>1627090</v>
      </c>
      <c r="K17" s="52">
        <f>+'DATOS '!$K$26</f>
        <v>1627090</v>
      </c>
      <c r="L17" s="52">
        <f>+'DATOS '!$K$26</f>
        <v>1627090</v>
      </c>
      <c r="M17" s="52">
        <f>+'DATOS '!$K$26</f>
        <v>1627090</v>
      </c>
      <c r="N17" s="52">
        <f>+'DATOS '!$K$26</f>
        <v>1627090</v>
      </c>
      <c r="O17" s="52">
        <f>+'DATOS '!$K$26</f>
        <v>1627090</v>
      </c>
      <c r="P17" s="52">
        <f>+'DATOS '!$K$26</f>
        <v>1627090</v>
      </c>
      <c r="Q17" s="52">
        <f>+'DATOS '!$K$26</f>
        <v>1627090</v>
      </c>
      <c r="R17" s="52">
        <f>+'DATOS '!$K$26</f>
        <v>1627090</v>
      </c>
      <c r="S17" s="52">
        <f>+'DATOS '!$K$26</f>
        <v>1627090</v>
      </c>
      <c r="T17" s="52"/>
      <c r="U17" s="52"/>
      <c r="V17" s="52"/>
      <c r="W17" s="52"/>
      <c r="X17" s="52"/>
      <c r="Y17" s="52"/>
      <c r="Z17" s="52"/>
      <c r="AA17" s="52"/>
      <c r="AB17" s="52"/>
      <c r="AC17" s="52"/>
    </row>
    <row r="18" spans="2:29" x14ac:dyDescent="0.25">
      <c r="B18" s="197"/>
      <c r="C18" s="51" t="s">
        <v>163</v>
      </c>
      <c r="D18" s="52">
        <f>+'DATOS '!$M$26</f>
        <v>1084618.1939999999</v>
      </c>
      <c r="E18" s="52">
        <f>+'DATOS '!$M$26</f>
        <v>1084618.1939999999</v>
      </c>
      <c r="F18" s="52">
        <f>+'DATOS '!$M$26</f>
        <v>1084618.1939999999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2:29" hidden="1" x14ac:dyDescent="0.25">
      <c r="B19" s="197"/>
      <c r="C19" s="51" t="s">
        <v>142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2:29" x14ac:dyDescent="0.25">
      <c r="B20" s="197"/>
      <c r="C20" s="51" t="s">
        <v>143</v>
      </c>
      <c r="D20" s="52">
        <f>+D17-D18</f>
        <v>542471.8060000001</v>
      </c>
      <c r="E20" s="52">
        <f t="shared" ref="E20:AC20" si="12">+E17-E18</f>
        <v>542471.8060000001</v>
      </c>
      <c r="F20" s="52">
        <f t="shared" si="12"/>
        <v>542471.8060000001</v>
      </c>
      <c r="G20" s="52">
        <f t="shared" si="12"/>
        <v>1627090</v>
      </c>
      <c r="H20" s="52">
        <f t="shared" si="12"/>
        <v>1627090</v>
      </c>
      <c r="I20" s="52">
        <f t="shared" si="12"/>
        <v>1627090</v>
      </c>
      <c r="J20" s="52">
        <f t="shared" si="12"/>
        <v>1627090</v>
      </c>
      <c r="K20" s="52">
        <f t="shared" si="12"/>
        <v>1627090</v>
      </c>
      <c r="L20" s="52">
        <f t="shared" si="12"/>
        <v>1627090</v>
      </c>
      <c r="M20" s="52">
        <f t="shared" si="12"/>
        <v>1627090</v>
      </c>
      <c r="N20" s="52">
        <f t="shared" si="12"/>
        <v>1627090</v>
      </c>
      <c r="O20" s="52">
        <f t="shared" si="12"/>
        <v>1627090</v>
      </c>
      <c r="P20" s="52">
        <f t="shared" si="12"/>
        <v>1627090</v>
      </c>
      <c r="Q20" s="52">
        <f t="shared" si="12"/>
        <v>1627090</v>
      </c>
      <c r="R20" s="52">
        <f t="shared" si="12"/>
        <v>1627090</v>
      </c>
      <c r="S20" s="52">
        <f t="shared" si="12"/>
        <v>1627090</v>
      </c>
      <c r="T20" s="52">
        <f t="shared" si="12"/>
        <v>0</v>
      </c>
      <c r="U20" s="52">
        <f t="shared" si="12"/>
        <v>0</v>
      </c>
      <c r="V20" s="52">
        <f t="shared" si="12"/>
        <v>0</v>
      </c>
      <c r="W20" s="52">
        <f t="shared" si="12"/>
        <v>0</v>
      </c>
      <c r="X20" s="52">
        <f t="shared" si="12"/>
        <v>0</v>
      </c>
      <c r="Y20" s="52">
        <f t="shared" si="12"/>
        <v>0</v>
      </c>
      <c r="Z20" s="52">
        <f t="shared" si="12"/>
        <v>0</v>
      </c>
      <c r="AA20" s="52">
        <f t="shared" si="12"/>
        <v>0</v>
      </c>
      <c r="AB20" s="52">
        <f t="shared" si="12"/>
        <v>0</v>
      </c>
      <c r="AC20" s="52">
        <f t="shared" si="12"/>
        <v>0</v>
      </c>
    </row>
    <row r="21" spans="2:29" x14ac:dyDescent="0.25">
      <c r="B21" s="197"/>
      <c r="C21" s="53" t="s">
        <v>144</v>
      </c>
      <c r="D21" s="54">
        <f>+D20*0.14-D19</f>
        <v>75946.052840000018</v>
      </c>
      <c r="E21" s="54">
        <f t="shared" ref="E21:AC21" si="13">+E20*0.14-E19</f>
        <v>75946.052840000018</v>
      </c>
      <c r="F21" s="54">
        <f t="shared" si="13"/>
        <v>75946.052840000018</v>
      </c>
      <c r="G21" s="54">
        <f t="shared" si="13"/>
        <v>227792.60000000003</v>
      </c>
      <c r="H21" s="54">
        <f t="shared" si="13"/>
        <v>227792.60000000003</v>
      </c>
      <c r="I21" s="54">
        <f t="shared" si="13"/>
        <v>227792.60000000003</v>
      </c>
      <c r="J21" s="54">
        <f t="shared" si="13"/>
        <v>227792.60000000003</v>
      </c>
      <c r="K21" s="54">
        <f t="shared" si="13"/>
        <v>227792.60000000003</v>
      </c>
      <c r="L21" s="54">
        <f t="shared" si="13"/>
        <v>227792.60000000003</v>
      </c>
      <c r="M21" s="54">
        <f t="shared" si="13"/>
        <v>227792.60000000003</v>
      </c>
      <c r="N21" s="54">
        <f t="shared" si="13"/>
        <v>227792.60000000003</v>
      </c>
      <c r="O21" s="54">
        <f t="shared" si="13"/>
        <v>227792.60000000003</v>
      </c>
      <c r="P21" s="54">
        <f t="shared" si="13"/>
        <v>227792.60000000003</v>
      </c>
      <c r="Q21" s="54">
        <f t="shared" si="13"/>
        <v>227792.60000000003</v>
      </c>
      <c r="R21" s="54">
        <f t="shared" si="13"/>
        <v>227792.60000000003</v>
      </c>
      <c r="S21" s="54">
        <f t="shared" si="13"/>
        <v>227792.60000000003</v>
      </c>
      <c r="T21" s="54">
        <f t="shared" si="13"/>
        <v>0</v>
      </c>
      <c r="U21" s="54">
        <f t="shared" si="13"/>
        <v>0</v>
      </c>
      <c r="V21" s="54">
        <f t="shared" si="13"/>
        <v>0</v>
      </c>
      <c r="W21" s="54">
        <f t="shared" si="13"/>
        <v>0</v>
      </c>
      <c r="X21" s="54">
        <f t="shared" si="13"/>
        <v>0</v>
      </c>
      <c r="Y21" s="54">
        <f t="shared" si="13"/>
        <v>0</v>
      </c>
      <c r="Z21" s="54">
        <f t="shared" si="13"/>
        <v>0</v>
      </c>
      <c r="AA21" s="54">
        <f t="shared" si="13"/>
        <v>0</v>
      </c>
      <c r="AB21" s="54">
        <f t="shared" si="13"/>
        <v>0</v>
      </c>
      <c r="AC21" s="54">
        <f t="shared" si="13"/>
        <v>0</v>
      </c>
    </row>
    <row r="22" spans="2:29" x14ac:dyDescent="0.25">
      <c r="B22" s="206" t="s">
        <v>145</v>
      </c>
      <c r="C22" s="206"/>
      <c r="D22" s="52">
        <f>+D7-(D21+D16)</f>
        <v>-6836862.4228400001</v>
      </c>
      <c r="E22" s="52" t="e">
        <f>+E7-(E21+E16)</f>
        <v>#REF!</v>
      </c>
      <c r="F22" s="52" t="e">
        <f t="shared" ref="F22:AC22" si="14">+F7-F21-F16</f>
        <v>#REF!</v>
      </c>
      <c r="G22" s="52" t="e">
        <f t="shared" si="14"/>
        <v>#REF!</v>
      </c>
      <c r="H22" s="52" t="e">
        <f t="shared" si="14"/>
        <v>#REF!</v>
      </c>
      <c r="I22" s="52" t="e">
        <f t="shared" si="14"/>
        <v>#REF!</v>
      </c>
      <c r="J22" s="52" t="e">
        <f t="shared" si="14"/>
        <v>#REF!</v>
      </c>
      <c r="K22" s="52" t="e">
        <f t="shared" si="14"/>
        <v>#REF!</v>
      </c>
      <c r="L22" s="52" t="e">
        <f t="shared" si="14"/>
        <v>#REF!</v>
      </c>
      <c r="M22" s="52" t="e">
        <f t="shared" si="14"/>
        <v>#REF!</v>
      </c>
      <c r="N22" s="52" t="e">
        <f t="shared" si="14"/>
        <v>#REF!</v>
      </c>
      <c r="O22" s="52" t="e">
        <f t="shared" si="14"/>
        <v>#REF!</v>
      </c>
      <c r="P22" s="52" t="e">
        <f t="shared" si="14"/>
        <v>#REF!</v>
      </c>
      <c r="Q22" s="52" t="e">
        <f t="shared" si="14"/>
        <v>#REF!</v>
      </c>
      <c r="R22" s="52" t="e">
        <f t="shared" si="14"/>
        <v>#REF!</v>
      </c>
      <c r="S22" s="52" t="e">
        <f t="shared" si="14"/>
        <v>#REF!</v>
      </c>
      <c r="T22" s="52" t="e">
        <f t="shared" si="14"/>
        <v>#REF!</v>
      </c>
      <c r="U22" s="52" t="e">
        <f t="shared" si="14"/>
        <v>#REF!</v>
      </c>
      <c r="V22" s="52" t="e">
        <f t="shared" si="14"/>
        <v>#REF!</v>
      </c>
      <c r="W22" s="52" t="e">
        <f t="shared" si="14"/>
        <v>#REF!</v>
      </c>
      <c r="X22" s="52" t="e">
        <f t="shared" si="14"/>
        <v>#REF!</v>
      </c>
      <c r="Y22" s="52" t="e">
        <f t="shared" si="14"/>
        <v>#REF!</v>
      </c>
      <c r="Z22" s="52" t="e">
        <f t="shared" si="14"/>
        <v>#REF!</v>
      </c>
      <c r="AA22" s="52" t="e">
        <f t="shared" si="14"/>
        <v>#REF!</v>
      </c>
      <c r="AB22" s="52" t="e">
        <f t="shared" si="14"/>
        <v>#REF!</v>
      </c>
      <c r="AC22" s="52" t="e">
        <f t="shared" si="14"/>
        <v>#REF!</v>
      </c>
    </row>
    <row r="23" spans="2:29" x14ac:dyDescent="0.25">
      <c r="B23" s="207" t="s">
        <v>146</v>
      </c>
      <c r="C23" s="207"/>
      <c r="D23" s="55">
        <f>1/(1+0.12)^(D2+1)</f>
        <v>0.89285714285714279</v>
      </c>
      <c r="E23" s="55">
        <f>1/(1+0.12)^(E2+1)</f>
        <v>0.79719387755102034</v>
      </c>
      <c r="F23" s="55">
        <f t="shared" ref="F23:AC23" si="15">1/(1+0.12)^(F2+1)</f>
        <v>0.71178024781341087</v>
      </c>
      <c r="G23" s="55">
        <f t="shared" si="15"/>
        <v>0.63551807840483121</v>
      </c>
      <c r="H23" s="55">
        <f t="shared" si="15"/>
        <v>0.56742685571859919</v>
      </c>
      <c r="I23" s="55">
        <f t="shared" si="15"/>
        <v>0.50663112117732068</v>
      </c>
      <c r="J23" s="55">
        <f t="shared" si="15"/>
        <v>0.45234921533689343</v>
      </c>
      <c r="K23" s="55">
        <f t="shared" si="15"/>
        <v>0.4038832279793691</v>
      </c>
      <c r="L23" s="55">
        <f t="shared" si="15"/>
        <v>0.36061002498157957</v>
      </c>
      <c r="M23" s="55">
        <f t="shared" si="15"/>
        <v>0.32197323659069599</v>
      </c>
      <c r="N23" s="55">
        <f t="shared" si="15"/>
        <v>0.28747610409883567</v>
      </c>
      <c r="O23" s="55">
        <f t="shared" si="15"/>
        <v>0.25667509294538904</v>
      </c>
      <c r="P23" s="55">
        <f t="shared" si="15"/>
        <v>0.22917419012981158</v>
      </c>
      <c r="Q23" s="55">
        <f t="shared" si="15"/>
        <v>0.20461981261590317</v>
      </c>
      <c r="R23" s="55">
        <f t="shared" si="15"/>
        <v>0.18269626126419927</v>
      </c>
      <c r="S23" s="55">
        <f t="shared" si="15"/>
        <v>0.16312166184303503</v>
      </c>
      <c r="T23" s="55">
        <f t="shared" si="15"/>
        <v>0.14564434093128129</v>
      </c>
      <c r="U23" s="55">
        <f t="shared" si="15"/>
        <v>0.13003959011721541</v>
      </c>
      <c r="V23" s="55">
        <f t="shared" si="15"/>
        <v>0.1161067768903709</v>
      </c>
      <c r="W23" s="55">
        <f t="shared" si="15"/>
        <v>0.1036667650806883</v>
      </c>
      <c r="X23" s="55">
        <f t="shared" si="15"/>
        <v>9.2559611679185971E-2</v>
      </c>
      <c r="Y23" s="55">
        <f t="shared" si="15"/>
        <v>8.2642510427844609E-2</v>
      </c>
      <c r="Z23" s="55">
        <f t="shared" si="15"/>
        <v>7.3787955739146982E-2</v>
      </c>
      <c r="AA23" s="55">
        <f t="shared" si="15"/>
        <v>6.5882103338524081E-2</v>
      </c>
      <c r="AB23" s="55">
        <f t="shared" si="15"/>
        <v>5.8823306552253637E-2</v>
      </c>
      <c r="AC23" s="55">
        <f t="shared" si="15"/>
        <v>5.2520809421655032E-2</v>
      </c>
    </row>
    <row r="24" spans="2:29" x14ac:dyDescent="0.25">
      <c r="B24" s="202" t="s">
        <v>147</v>
      </c>
      <c r="C24" s="202"/>
      <c r="D24" s="5">
        <f>+D23*D22</f>
        <v>-6104341.4489642857</v>
      </c>
      <c r="E24" s="5" t="e">
        <f>+E23*E22</f>
        <v>#REF!</v>
      </c>
      <c r="F24" s="5" t="e">
        <f t="shared" ref="F24:R24" si="16">+F23*F22</f>
        <v>#REF!</v>
      </c>
      <c r="G24" s="5" t="e">
        <f t="shared" si="16"/>
        <v>#REF!</v>
      </c>
      <c r="H24" s="5" t="e">
        <f t="shared" si="16"/>
        <v>#REF!</v>
      </c>
      <c r="I24" s="5" t="e">
        <f t="shared" si="16"/>
        <v>#REF!</v>
      </c>
      <c r="J24" s="5" t="e">
        <f t="shared" si="16"/>
        <v>#REF!</v>
      </c>
      <c r="K24" s="5" t="e">
        <f t="shared" si="16"/>
        <v>#REF!</v>
      </c>
      <c r="L24" s="5" t="e">
        <f t="shared" si="16"/>
        <v>#REF!</v>
      </c>
      <c r="M24" s="5" t="e">
        <f t="shared" si="16"/>
        <v>#REF!</v>
      </c>
      <c r="N24" s="5" t="e">
        <f t="shared" si="16"/>
        <v>#REF!</v>
      </c>
      <c r="O24" s="5" t="e">
        <f t="shared" si="16"/>
        <v>#REF!</v>
      </c>
      <c r="P24" s="5" t="e">
        <f t="shared" si="16"/>
        <v>#REF!</v>
      </c>
      <c r="Q24" s="5" t="e">
        <f t="shared" si="16"/>
        <v>#REF!</v>
      </c>
      <c r="R24" s="5" t="e">
        <f t="shared" si="16"/>
        <v>#REF!</v>
      </c>
      <c r="S24" s="5" t="e">
        <f>+S23*S22</f>
        <v>#REF!</v>
      </c>
      <c r="T24" s="5" t="e">
        <f t="shared" ref="T24:AC24" si="17">+T23*T22</f>
        <v>#REF!</v>
      </c>
      <c r="U24" s="5" t="e">
        <f t="shared" si="17"/>
        <v>#REF!</v>
      </c>
      <c r="V24" s="5" t="e">
        <f t="shared" si="17"/>
        <v>#REF!</v>
      </c>
      <c r="W24" s="5" t="e">
        <f t="shared" si="17"/>
        <v>#REF!</v>
      </c>
      <c r="X24" s="5" t="e">
        <f t="shared" si="17"/>
        <v>#REF!</v>
      </c>
      <c r="Y24" s="5" t="e">
        <f t="shared" si="17"/>
        <v>#REF!</v>
      </c>
      <c r="Z24" s="5" t="e">
        <f t="shared" si="17"/>
        <v>#REF!</v>
      </c>
      <c r="AA24" s="5" t="e">
        <f t="shared" si="17"/>
        <v>#REF!</v>
      </c>
      <c r="AB24" s="5" t="e">
        <f t="shared" si="17"/>
        <v>#REF!</v>
      </c>
      <c r="AC24" s="5" t="e">
        <f t="shared" si="17"/>
        <v>#REF!</v>
      </c>
    </row>
    <row r="25" spans="2:29" x14ac:dyDescent="0.25">
      <c r="B25" s="202" t="s">
        <v>164</v>
      </c>
      <c r="C25" s="202"/>
      <c r="D25" s="5">
        <f>+SUM(D21:AC21)</f>
        <v>3189141.9585200008</v>
      </c>
    </row>
    <row r="26" spans="2:29" x14ac:dyDescent="0.25">
      <c r="D26" s="7"/>
    </row>
    <row r="27" spans="2:29" x14ac:dyDescent="0.25">
      <c r="C27" t="s">
        <v>149</v>
      </c>
      <c r="D27" s="81" t="e">
        <f>+IRR(D24:AC24)</f>
        <v>#VALUE!</v>
      </c>
    </row>
    <row r="29" spans="2:29" x14ac:dyDescent="0.25">
      <c r="E29" t="s">
        <v>151</v>
      </c>
      <c r="F29" t="s">
        <v>152</v>
      </c>
    </row>
    <row r="30" spans="2:29" x14ac:dyDescent="0.25">
      <c r="D30" s="5"/>
      <c r="E30" s="8">
        <v>5.0000000000000001E-3</v>
      </c>
      <c r="F30" s="5" t="e">
        <f t="shared" ref="F30:F35" si="18">+NPV(E30,$E$24:$AC$24)+$D$24</f>
        <v>#REF!</v>
      </c>
    </row>
    <row r="31" spans="2:29" x14ac:dyDescent="0.25">
      <c r="D31" s="5"/>
      <c r="E31" s="8">
        <f>+E30+0.01</f>
        <v>1.4999999999999999E-2</v>
      </c>
      <c r="F31" s="5" t="e">
        <f t="shared" si="18"/>
        <v>#REF!</v>
      </c>
    </row>
    <row r="32" spans="2:29" x14ac:dyDescent="0.25">
      <c r="D32" s="5"/>
      <c r="E32" s="8">
        <f t="shared" ref="E32:E73" si="19">+E31+0.01</f>
        <v>2.5000000000000001E-2</v>
      </c>
      <c r="F32" s="5" t="e">
        <f t="shared" si="18"/>
        <v>#REF!</v>
      </c>
    </row>
    <row r="33" spans="3:6" x14ac:dyDescent="0.25">
      <c r="D33" s="5"/>
      <c r="E33" s="8">
        <f t="shared" si="19"/>
        <v>3.5000000000000003E-2</v>
      </c>
      <c r="F33" s="5" t="e">
        <f t="shared" si="18"/>
        <v>#REF!</v>
      </c>
    </row>
    <row r="34" spans="3:6" x14ac:dyDescent="0.25">
      <c r="D34" s="5"/>
      <c r="E34" s="8">
        <f t="shared" si="19"/>
        <v>4.5000000000000005E-2</v>
      </c>
      <c r="F34" s="5" t="e">
        <f t="shared" si="18"/>
        <v>#REF!</v>
      </c>
    </row>
    <row r="35" spans="3:6" x14ac:dyDescent="0.25">
      <c r="D35" s="5"/>
      <c r="E35" s="8">
        <f t="shared" si="19"/>
        <v>5.5000000000000007E-2</v>
      </c>
      <c r="F35" s="5" t="e">
        <f t="shared" si="18"/>
        <v>#REF!</v>
      </c>
    </row>
    <row r="36" spans="3:6" x14ac:dyDescent="0.25">
      <c r="D36" s="5"/>
      <c r="E36" s="8">
        <f t="shared" si="19"/>
        <v>6.5000000000000002E-2</v>
      </c>
      <c r="F36" s="5" t="e">
        <f t="shared" ref="F36:F50" si="20">+NPV(E36,$E$24:$AC$24)+$D$24</f>
        <v>#REF!</v>
      </c>
    </row>
    <row r="37" spans="3:6" x14ac:dyDescent="0.25">
      <c r="D37" s="5"/>
      <c r="E37" s="8">
        <f t="shared" si="19"/>
        <v>7.4999999999999997E-2</v>
      </c>
      <c r="F37" s="5" t="e">
        <f t="shared" si="20"/>
        <v>#REF!</v>
      </c>
    </row>
    <row r="38" spans="3:6" x14ac:dyDescent="0.25">
      <c r="D38" s="5"/>
      <c r="E38" s="8">
        <f t="shared" si="19"/>
        <v>8.4999999999999992E-2</v>
      </c>
      <c r="F38" s="5" t="e">
        <f t="shared" si="20"/>
        <v>#REF!</v>
      </c>
    </row>
    <row r="39" spans="3:6" x14ac:dyDescent="0.25">
      <c r="D39" s="5"/>
      <c r="E39" s="8">
        <f t="shared" si="19"/>
        <v>9.4999999999999987E-2</v>
      </c>
      <c r="F39" s="5" t="e">
        <f t="shared" si="20"/>
        <v>#REF!</v>
      </c>
    </row>
    <row r="40" spans="3:6" x14ac:dyDescent="0.25">
      <c r="D40" s="5"/>
      <c r="E40" s="8">
        <f t="shared" si="19"/>
        <v>0.10499999999999998</v>
      </c>
      <c r="F40" s="5" t="e">
        <f t="shared" si="20"/>
        <v>#REF!</v>
      </c>
    </row>
    <row r="41" spans="3:6" x14ac:dyDescent="0.25">
      <c r="C41" s="7"/>
      <c r="E41" s="8">
        <f t="shared" si="19"/>
        <v>0.11499999999999998</v>
      </c>
      <c r="F41" s="5" t="e">
        <f t="shared" si="20"/>
        <v>#REF!</v>
      </c>
    </row>
    <row r="42" spans="3:6" x14ac:dyDescent="0.25">
      <c r="E42" s="8">
        <f t="shared" si="19"/>
        <v>0.12499999999999997</v>
      </c>
      <c r="F42" s="5" t="e">
        <f t="shared" si="20"/>
        <v>#REF!</v>
      </c>
    </row>
    <row r="43" spans="3:6" x14ac:dyDescent="0.25">
      <c r="E43" s="8">
        <f t="shared" si="19"/>
        <v>0.13499999999999998</v>
      </c>
      <c r="F43" s="5" t="e">
        <f t="shared" si="20"/>
        <v>#REF!</v>
      </c>
    </row>
    <row r="44" spans="3:6" x14ac:dyDescent="0.25">
      <c r="E44" s="8">
        <f t="shared" si="19"/>
        <v>0.14499999999999999</v>
      </c>
      <c r="F44" s="5" t="e">
        <f t="shared" si="20"/>
        <v>#REF!</v>
      </c>
    </row>
    <row r="45" spans="3:6" x14ac:dyDescent="0.25">
      <c r="E45" s="8">
        <f t="shared" si="19"/>
        <v>0.155</v>
      </c>
      <c r="F45" s="5" t="e">
        <f t="shared" si="20"/>
        <v>#REF!</v>
      </c>
    </row>
    <row r="46" spans="3:6" x14ac:dyDescent="0.25">
      <c r="E46" s="8">
        <f t="shared" si="19"/>
        <v>0.16500000000000001</v>
      </c>
      <c r="F46" s="5" t="e">
        <f t="shared" si="20"/>
        <v>#REF!</v>
      </c>
    </row>
    <row r="47" spans="3:6" x14ac:dyDescent="0.25">
      <c r="E47" s="8">
        <f t="shared" si="19"/>
        <v>0.17500000000000002</v>
      </c>
      <c r="F47" s="5" t="e">
        <f t="shared" si="20"/>
        <v>#REF!</v>
      </c>
    </row>
    <row r="48" spans="3:6" x14ac:dyDescent="0.25">
      <c r="E48" s="8">
        <f t="shared" si="19"/>
        <v>0.18500000000000003</v>
      </c>
      <c r="F48" s="5" t="e">
        <f t="shared" si="20"/>
        <v>#REF!</v>
      </c>
    </row>
    <row r="49" spans="5:6" x14ac:dyDescent="0.25">
      <c r="E49" s="8">
        <f t="shared" si="19"/>
        <v>0.19500000000000003</v>
      </c>
      <c r="F49" s="5" t="e">
        <f t="shared" si="20"/>
        <v>#REF!</v>
      </c>
    </row>
    <row r="50" spans="5:6" x14ac:dyDescent="0.25">
      <c r="E50" s="8">
        <f t="shared" si="19"/>
        <v>0.20500000000000004</v>
      </c>
      <c r="F50" s="5" t="e">
        <f t="shared" si="20"/>
        <v>#REF!</v>
      </c>
    </row>
    <row r="51" spans="5:6" x14ac:dyDescent="0.25">
      <c r="E51" s="8">
        <f t="shared" si="19"/>
        <v>0.21500000000000005</v>
      </c>
      <c r="F51" s="5" t="e">
        <f>+NPV(E51,$E$24:$AC$24)+$D$24</f>
        <v>#REF!</v>
      </c>
    </row>
    <row r="52" spans="5:6" x14ac:dyDescent="0.25">
      <c r="E52" s="8">
        <f t="shared" si="19"/>
        <v>0.22500000000000006</v>
      </c>
      <c r="F52" s="5" t="e">
        <f>+NPV(E52,$E$24:$AC$24)+$D$24</f>
        <v>#REF!</v>
      </c>
    </row>
    <row r="53" spans="5:6" x14ac:dyDescent="0.25">
      <c r="E53" s="8">
        <f t="shared" si="19"/>
        <v>0.23500000000000007</v>
      </c>
      <c r="F53" s="5" t="e">
        <f t="shared" ref="F53:F61" si="21">+NPV(E53,$E$24:$AC$24)+$D$24</f>
        <v>#REF!</v>
      </c>
    </row>
    <row r="54" spans="5:6" x14ac:dyDescent="0.25">
      <c r="E54" s="8">
        <f t="shared" si="19"/>
        <v>0.24500000000000008</v>
      </c>
      <c r="F54" s="5" t="e">
        <f t="shared" si="21"/>
        <v>#REF!</v>
      </c>
    </row>
    <row r="55" spans="5:6" x14ac:dyDescent="0.25">
      <c r="E55" s="8">
        <f t="shared" si="19"/>
        <v>0.25500000000000006</v>
      </c>
      <c r="F55" s="5" t="e">
        <f t="shared" si="21"/>
        <v>#REF!</v>
      </c>
    </row>
    <row r="56" spans="5:6" x14ac:dyDescent="0.25">
      <c r="E56" s="8">
        <f t="shared" si="19"/>
        <v>0.26500000000000007</v>
      </c>
      <c r="F56" s="5" t="e">
        <f t="shared" si="21"/>
        <v>#REF!</v>
      </c>
    </row>
    <row r="57" spans="5:6" x14ac:dyDescent="0.25">
      <c r="E57" s="8">
        <f t="shared" si="19"/>
        <v>0.27500000000000008</v>
      </c>
      <c r="F57" s="5" t="e">
        <f t="shared" si="21"/>
        <v>#REF!</v>
      </c>
    </row>
    <row r="58" spans="5:6" x14ac:dyDescent="0.25">
      <c r="E58" s="8">
        <f t="shared" si="19"/>
        <v>0.28500000000000009</v>
      </c>
      <c r="F58" s="5" t="e">
        <f t="shared" si="21"/>
        <v>#REF!</v>
      </c>
    </row>
    <row r="59" spans="5:6" x14ac:dyDescent="0.25">
      <c r="E59" s="8">
        <f t="shared" si="19"/>
        <v>0.2950000000000001</v>
      </c>
      <c r="F59" s="5" t="e">
        <f t="shared" si="21"/>
        <v>#REF!</v>
      </c>
    </row>
    <row r="60" spans="5:6" x14ac:dyDescent="0.25">
      <c r="E60" s="8">
        <f t="shared" si="19"/>
        <v>0.3050000000000001</v>
      </c>
      <c r="F60" s="5" t="e">
        <f t="shared" si="21"/>
        <v>#REF!</v>
      </c>
    </row>
    <row r="61" spans="5:6" x14ac:dyDescent="0.25">
      <c r="E61" s="8">
        <f t="shared" si="19"/>
        <v>0.31500000000000011</v>
      </c>
      <c r="F61" s="5" t="e">
        <f t="shared" si="21"/>
        <v>#REF!</v>
      </c>
    </row>
    <row r="62" spans="5:6" x14ac:dyDescent="0.25">
      <c r="E62" s="8">
        <f t="shared" si="19"/>
        <v>0.32500000000000012</v>
      </c>
      <c r="F62" s="5" t="e">
        <f>+NPV(E62,$E$24:$AC$24)+$D$24</f>
        <v>#REF!</v>
      </c>
    </row>
    <row r="63" spans="5:6" x14ac:dyDescent="0.25">
      <c r="E63" s="8">
        <f t="shared" si="19"/>
        <v>0.33500000000000013</v>
      </c>
      <c r="F63" s="5" t="e">
        <f>+NPV(E63,$E$24:$AC$24)+$D$24</f>
        <v>#REF!</v>
      </c>
    </row>
    <row r="64" spans="5:6" x14ac:dyDescent="0.25">
      <c r="E64" s="8">
        <f t="shared" si="19"/>
        <v>0.34500000000000014</v>
      </c>
      <c r="F64" s="5" t="e">
        <f t="shared" ref="F64:F70" si="22">+NPV(E64,$E$24:$AC$24)+$D$24</f>
        <v>#REF!</v>
      </c>
    </row>
    <row r="65" spans="5:6" x14ac:dyDescent="0.25">
      <c r="E65" s="8">
        <f t="shared" si="19"/>
        <v>0.35500000000000015</v>
      </c>
      <c r="F65" s="5" t="e">
        <f t="shared" si="22"/>
        <v>#REF!</v>
      </c>
    </row>
    <row r="66" spans="5:6" x14ac:dyDescent="0.25">
      <c r="E66" s="8">
        <f t="shared" si="19"/>
        <v>0.36500000000000016</v>
      </c>
      <c r="F66" s="5" t="e">
        <f t="shared" si="22"/>
        <v>#REF!</v>
      </c>
    </row>
    <row r="67" spans="5:6" x14ac:dyDescent="0.25">
      <c r="E67" s="8">
        <f t="shared" si="19"/>
        <v>0.37500000000000017</v>
      </c>
      <c r="F67" s="5" t="e">
        <f t="shared" si="22"/>
        <v>#REF!</v>
      </c>
    </row>
    <row r="68" spans="5:6" x14ac:dyDescent="0.25">
      <c r="E68" s="8">
        <f t="shared" si="19"/>
        <v>0.38500000000000018</v>
      </c>
      <c r="F68" s="5" t="e">
        <f t="shared" si="22"/>
        <v>#REF!</v>
      </c>
    </row>
    <row r="69" spans="5:6" x14ac:dyDescent="0.25">
      <c r="E69" s="8">
        <f t="shared" si="19"/>
        <v>0.39500000000000018</v>
      </c>
      <c r="F69" s="5" t="e">
        <f t="shared" si="22"/>
        <v>#REF!</v>
      </c>
    </row>
    <row r="70" spans="5:6" x14ac:dyDescent="0.25">
      <c r="E70" s="8">
        <f t="shared" si="19"/>
        <v>0.40500000000000019</v>
      </c>
      <c r="F70" s="5" t="e">
        <f t="shared" si="22"/>
        <v>#REF!</v>
      </c>
    </row>
    <row r="71" spans="5:6" x14ac:dyDescent="0.25">
      <c r="E71" s="8">
        <f t="shared" si="19"/>
        <v>0.4150000000000002</v>
      </c>
      <c r="F71" s="5" t="e">
        <f>+NPV(E71,$E$24:$AC$24)+$D$24</f>
        <v>#REF!</v>
      </c>
    </row>
    <row r="72" spans="5:6" x14ac:dyDescent="0.25">
      <c r="E72" s="8">
        <f t="shared" si="19"/>
        <v>0.42500000000000021</v>
      </c>
      <c r="F72" s="5" t="e">
        <f>+NPV(E72,$E$24:$AC$24)+$D$24</f>
        <v>#REF!</v>
      </c>
    </row>
    <row r="73" spans="5:6" x14ac:dyDescent="0.25">
      <c r="E73" s="8">
        <f t="shared" si="19"/>
        <v>0.43500000000000022</v>
      </c>
      <c r="F73" s="5" t="e">
        <f t="shared" ref="F73" si="23">+NPV(E73,$E$24:$AC$24)+$D$24</f>
        <v>#REF!</v>
      </c>
    </row>
  </sheetData>
  <mergeCells count="7">
    <mergeCell ref="B25:C25"/>
    <mergeCell ref="B3:B7"/>
    <mergeCell ref="B10:B16"/>
    <mergeCell ref="B17:B21"/>
    <mergeCell ref="B22:C22"/>
    <mergeCell ref="B23:C23"/>
    <mergeCell ref="B24:C2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28FC-B1A4-4A5E-A8FA-24F45FBF94B4}">
  <dimension ref="B1:AC88"/>
  <sheetViews>
    <sheetView showGridLines="0" topLeftCell="A13" workbookViewId="0">
      <selection activeCell="D4" sqref="D4"/>
    </sheetView>
  </sheetViews>
  <sheetFormatPr baseColWidth="10" defaultColWidth="11.42578125" defaultRowHeight="15" x14ac:dyDescent="0.25"/>
  <cols>
    <col min="1" max="1" width="5.28515625" customWidth="1"/>
    <col min="3" max="3" width="31.140625" bestFit="1" customWidth="1"/>
    <col min="4" max="4" width="17.7109375" bestFit="1" customWidth="1"/>
    <col min="5" max="6" width="12.28515625" bestFit="1" customWidth="1"/>
    <col min="7" max="7" width="19.28515625" bestFit="1" customWidth="1"/>
    <col min="8" max="8" width="12.28515625" bestFit="1" customWidth="1"/>
    <col min="9" max="9" width="14.7109375" bestFit="1" customWidth="1"/>
    <col min="10" max="12" width="12.28515625" bestFit="1" customWidth="1"/>
    <col min="13" max="13" width="18.5703125" customWidth="1"/>
    <col min="14" max="14" width="15.140625" bestFit="1" customWidth="1"/>
  </cols>
  <sheetData>
    <row r="1" spans="2:29" x14ac:dyDescent="0.25">
      <c r="D1" s="12"/>
    </row>
    <row r="2" spans="2:29" x14ac:dyDescent="0.25">
      <c r="B2" s="80"/>
      <c r="C2" s="80" t="s">
        <v>126</v>
      </c>
      <c r="D2" s="80">
        <v>0</v>
      </c>
      <c r="E2" s="80">
        <v>1</v>
      </c>
      <c r="F2" s="80">
        <v>2</v>
      </c>
      <c r="G2" s="80">
        <v>3</v>
      </c>
      <c r="H2" s="80">
        <v>4</v>
      </c>
      <c r="I2" s="80">
        <v>5</v>
      </c>
      <c r="J2" s="80">
        <v>6</v>
      </c>
      <c r="K2" s="80">
        <v>7</v>
      </c>
      <c r="L2" s="80">
        <v>8</v>
      </c>
      <c r="M2" s="80">
        <v>9</v>
      </c>
      <c r="N2" s="80">
        <v>10</v>
      </c>
      <c r="O2" s="80">
        <v>11</v>
      </c>
      <c r="P2" s="80">
        <v>12</v>
      </c>
      <c r="Q2" s="80">
        <v>13</v>
      </c>
      <c r="R2" s="80">
        <v>14</v>
      </c>
      <c r="S2" s="80">
        <v>15</v>
      </c>
      <c r="T2" s="80">
        <v>16</v>
      </c>
      <c r="U2" s="80">
        <v>17</v>
      </c>
      <c r="V2" s="80">
        <v>18</v>
      </c>
      <c r="W2" s="80">
        <v>19</v>
      </c>
      <c r="X2" s="80">
        <v>20</v>
      </c>
      <c r="Y2" s="80">
        <v>21</v>
      </c>
      <c r="Z2" s="80">
        <v>22</v>
      </c>
      <c r="AA2" s="80">
        <v>23</v>
      </c>
      <c r="AB2" s="80">
        <v>24</v>
      </c>
      <c r="AC2" s="80">
        <v>25</v>
      </c>
    </row>
    <row r="3" spans="2:29" x14ac:dyDescent="0.25">
      <c r="B3" s="201" t="s">
        <v>127</v>
      </c>
      <c r="C3" s="40" t="s">
        <v>165</v>
      </c>
      <c r="D3" s="40">
        <v>0</v>
      </c>
      <c r="E3" s="42" t="e">
        <f>+Capacidad!#REF!</f>
        <v>#REF!</v>
      </c>
      <c r="F3" s="42" t="e">
        <f>+E3</f>
        <v>#REF!</v>
      </c>
      <c r="G3" s="42" t="e">
        <f t="shared" ref="G3:AC3" si="0">+F3</f>
        <v>#REF!</v>
      </c>
      <c r="H3" s="42" t="e">
        <f t="shared" si="0"/>
        <v>#REF!</v>
      </c>
      <c r="I3" s="42" t="e">
        <f t="shared" si="0"/>
        <v>#REF!</v>
      </c>
      <c r="J3" s="42" t="e">
        <f t="shared" si="0"/>
        <v>#REF!</v>
      </c>
      <c r="K3" s="42" t="e">
        <f t="shared" si="0"/>
        <v>#REF!</v>
      </c>
      <c r="L3" s="42" t="e">
        <f t="shared" si="0"/>
        <v>#REF!</v>
      </c>
      <c r="M3" s="42" t="e">
        <f t="shared" si="0"/>
        <v>#REF!</v>
      </c>
      <c r="N3" s="42" t="e">
        <f t="shared" si="0"/>
        <v>#REF!</v>
      </c>
      <c r="O3" s="42" t="e">
        <f t="shared" si="0"/>
        <v>#REF!</v>
      </c>
      <c r="P3" s="42" t="e">
        <f t="shared" si="0"/>
        <v>#REF!</v>
      </c>
      <c r="Q3" s="42" t="e">
        <f t="shared" si="0"/>
        <v>#REF!</v>
      </c>
      <c r="R3" s="42" t="e">
        <f t="shared" si="0"/>
        <v>#REF!</v>
      </c>
      <c r="S3" s="42" t="e">
        <f t="shared" si="0"/>
        <v>#REF!</v>
      </c>
      <c r="T3" s="42" t="e">
        <f t="shared" si="0"/>
        <v>#REF!</v>
      </c>
      <c r="U3" s="42" t="e">
        <f t="shared" si="0"/>
        <v>#REF!</v>
      </c>
      <c r="V3" s="42" t="e">
        <f t="shared" si="0"/>
        <v>#REF!</v>
      </c>
      <c r="W3" s="42" t="e">
        <f t="shared" si="0"/>
        <v>#REF!</v>
      </c>
      <c r="X3" s="42" t="e">
        <f t="shared" si="0"/>
        <v>#REF!</v>
      </c>
      <c r="Y3" s="42" t="e">
        <f t="shared" si="0"/>
        <v>#REF!</v>
      </c>
      <c r="Z3" s="42" t="e">
        <f t="shared" si="0"/>
        <v>#REF!</v>
      </c>
      <c r="AA3" s="42" t="e">
        <f t="shared" si="0"/>
        <v>#REF!</v>
      </c>
      <c r="AB3" s="42" t="e">
        <f t="shared" si="0"/>
        <v>#REF!</v>
      </c>
      <c r="AC3" s="42" t="e">
        <f t="shared" si="0"/>
        <v>#REF!</v>
      </c>
    </row>
    <row r="4" spans="2:29" x14ac:dyDescent="0.25">
      <c r="B4" s="201"/>
      <c r="C4" s="40" t="s">
        <v>129</v>
      </c>
      <c r="D4" s="43">
        <f>+LCOH!O38</f>
        <v>9.6320478523290287</v>
      </c>
      <c r="E4" s="43">
        <f>+D4*1.05</f>
        <v>10.113650244945481</v>
      </c>
      <c r="F4" s="43">
        <f t="shared" ref="F4:AC4" si="1">+E4*1.05</f>
        <v>10.619332757192755</v>
      </c>
      <c r="G4" s="43">
        <f t="shared" si="1"/>
        <v>11.150299395052393</v>
      </c>
      <c r="H4" s="43">
        <f t="shared" si="1"/>
        <v>11.707814364805014</v>
      </c>
      <c r="I4" s="43">
        <f t="shared" si="1"/>
        <v>12.293205083045265</v>
      </c>
      <c r="J4" s="43">
        <f t="shared" si="1"/>
        <v>12.90786533719753</v>
      </c>
      <c r="K4" s="43">
        <f t="shared" si="1"/>
        <v>13.553258604057406</v>
      </c>
      <c r="L4" s="43">
        <f t="shared" si="1"/>
        <v>14.230921534260277</v>
      </c>
      <c r="M4" s="43">
        <f t="shared" si="1"/>
        <v>14.942467610973292</v>
      </c>
      <c r="N4" s="43">
        <f t="shared" si="1"/>
        <v>15.689590991521957</v>
      </c>
      <c r="O4" s="43">
        <f t="shared" si="1"/>
        <v>16.474070541098055</v>
      </c>
      <c r="P4" s="43">
        <f t="shared" si="1"/>
        <v>17.297774068152957</v>
      </c>
      <c r="Q4" s="43">
        <f t="shared" si="1"/>
        <v>18.162662771560605</v>
      </c>
      <c r="R4" s="43">
        <f t="shared" si="1"/>
        <v>19.070795910138635</v>
      </c>
      <c r="S4" s="43">
        <f t="shared" si="1"/>
        <v>20.024335705645569</v>
      </c>
      <c r="T4" s="43">
        <f t="shared" si="1"/>
        <v>21.025552490927847</v>
      </c>
      <c r="U4" s="43">
        <f t="shared" si="1"/>
        <v>22.076830115474241</v>
      </c>
      <c r="V4" s="43">
        <f t="shared" si="1"/>
        <v>23.180671621247953</v>
      </c>
      <c r="W4" s="43">
        <f t="shared" si="1"/>
        <v>24.339705202310352</v>
      </c>
      <c r="X4" s="43">
        <f t="shared" si="1"/>
        <v>25.55669046242587</v>
      </c>
      <c r="Y4" s="43">
        <f t="shared" si="1"/>
        <v>26.834524985547166</v>
      </c>
      <c r="Z4" s="43">
        <f t="shared" si="1"/>
        <v>28.176251234824527</v>
      </c>
      <c r="AA4" s="43">
        <f t="shared" si="1"/>
        <v>29.585063796565755</v>
      </c>
      <c r="AB4" s="43">
        <f t="shared" si="1"/>
        <v>31.064316986394044</v>
      </c>
      <c r="AC4" s="43">
        <f t="shared" si="1"/>
        <v>32.617532835713746</v>
      </c>
    </row>
    <row r="5" spans="2:29" x14ac:dyDescent="0.25">
      <c r="B5" s="201"/>
      <c r="C5" s="40" t="s">
        <v>159</v>
      </c>
      <c r="D5" s="44">
        <f>+D4*D3</f>
        <v>0</v>
      </c>
      <c r="E5" s="44" t="e">
        <f>+E4*E3</f>
        <v>#REF!</v>
      </c>
      <c r="F5" s="44" t="e">
        <f>+F4*F3</f>
        <v>#REF!</v>
      </c>
      <c r="G5" s="44" t="e">
        <f t="shared" ref="G5:M5" si="2">+G4*G3</f>
        <v>#REF!</v>
      </c>
      <c r="H5" s="44" t="e">
        <f t="shared" si="2"/>
        <v>#REF!</v>
      </c>
      <c r="I5" s="44" t="e">
        <f t="shared" si="2"/>
        <v>#REF!</v>
      </c>
      <c r="J5" s="44" t="e">
        <f t="shared" si="2"/>
        <v>#REF!</v>
      </c>
      <c r="K5" s="44" t="e">
        <f t="shared" si="2"/>
        <v>#REF!</v>
      </c>
      <c r="L5" s="44" t="e">
        <f t="shared" si="2"/>
        <v>#REF!</v>
      </c>
      <c r="M5" s="44" t="e">
        <f t="shared" si="2"/>
        <v>#REF!</v>
      </c>
      <c r="N5" s="44" t="e">
        <f>+N4*N3</f>
        <v>#REF!</v>
      </c>
      <c r="O5" s="44" t="e">
        <f t="shared" ref="O5:AC5" si="3">+O4*O3</f>
        <v>#REF!</v>
      </c>
      <c r="P5" s="44" t="e">
        <f t="shared" si="3"/>
        <v>#REF!</v>
      </c>
      <c r="Q5" s="44" t="e">
        <f t="shared" si="3"/>
        <v>#REF!</v>
      </c>
      <c r="R5" s="44" t="e">
        <f t="shared" si="3"/>
        <v>#REF!</v>
      </c>
      <c r="S5" s="44" t="e">
        <f t="shared" si="3"/>
        <v>#REF!</v>
      </c>
      <c r="T5" s="44" t="e">
        <f t="shared" si="3"/>
        <v>#REF!</v>
      </c>
      <c r="U5" s="44" t="e">
        <f t="shared" si="3"/>
        <v>#REF!</v>
      </c>
      <c r="V5" s="44" t="e">
        <f t="shared" si="3"/>
        <v>#REF!</v>
      </c>
      <c r="W5" s="44" t="e">
        <f t="shared" si="3"/>
        <v>#REF!</v>
      </c>
      <c r="X5" s="44" t="e">
        <f t="shared" si="3"/>
        <v>#REF!</v>
      </c>
      <c r="Y5" s="44" t="e">
        <f t="shared" si="3"/>
        <v>#REF!</v>
      </c>
      <c r="Z5" s="44" t="e">
        <f t="shared" si="3"/>
        <v>#REF!</v>
      </c>
      <c r="AA5" s="44" t="e">
        <f t="shared" si="3"/>
        <v>#REF!</v>
      </c>
      <c r="AB5" s="44" t="e">
        <f t="shared" si="3"/>
        <v>#REF!</v>
      </c>
      <c r="AC5" s="44" t="e">
        <f t="shared" si="3"/>
        <v>#REF!</v>
      </c>
    </row>
    <row r="6" spans="2:29" hidden="1" x14ac:dyDescent="0.25">
      <c r="B6" s="201"/>
      <c r="C6" s="40" t="s">
        <v>131</v>
      </c>
      <c r="D6" s="44">
        <v>0</v>
      </c>
      <c r="E6" s="44">
        <v>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44">
        <v>0</v>
      </c>
      <c r="V6" s="44">
        <v>0</v>
      </c>
      <c r="W6" s="44">
        <v>0</v>
      </c>
      <c r="X6" s="44">
        <v>0</v>
      </c>
      <c r="Y6" s="44">
        <v>0</v>
      </c>
      <c r="Z6" s="44">
        <v>0</v>
      </c>
      <c r="AA6" s="44">
        <v>0</v>
      </c>
      <c r="AB6" s="44">
        <v>0</v>
      </c>
      <c r="AC6" s="44">
        <v>0</v>
      </c>
    </row>
    <row r="7" spans="2:29" x14ac:dyDescent="0.25">
      <c r="B7" s="201"/>
      <c r="C7" s="45" t="s">
        <v>105</v>
      </c>
      <c r="D7" s="46">
        <f>+SUM(D5:D6)</f>
        <v>0</v>
      </c>
      <c r="E7" s="46" t="e">
        <f>+SUM(E5:E6)</f>
        <v>#REF!</v>
      </c>
      <c r="F7" s="46" t="e">
        <f>+SUM(F5:F6)</f>
        <v>#REF!</v>
      </c>
      <c r="G7" s="46" t="e">
        <f t="shared" ref="G7:AC7" si="4">+SUM(G5:G6)</f>
        <v>#REF!</v>
      </c>
      <c r="H7" s="46" t="e">
        <f t="shared" si="4"/>
        <v>#REF!</v>
      </c>
      <c r="I7" s="46" t="e">
        <f t="shared" si="4"/>
        <v>#REF!</v>
      </c>
      <c r="J7" s="46" t="e">
        <f t="shared" si="4"/>
        <v>#REF!</v>
      </c>
      <c r="K7" s="46" t="e">
        <f t="shared" si="4"/>
        <v>#REF!</v>
      </c>
      <c r="L7" s="46" t="e">
        <f t="shared" si="4"/>
        <v>#REF!</v>
      </c>
      <c r="M7" s="46" t="e">
        <f t="shared" si="4"/>
        <v>#REF!</v>
      </c>
      <c r="N7" s="46" t="e">
        <f t="shared" si="4"/>
        <v>#REF!</v>
      </c>
      <c r="O7" s="46" t="e">
        <f t="shared" si="4"/>
        <v>#REF!</v>
      </c>
      <c r="P7" s="46" t="e">
        <f t="shared" si="4"/>
        <v>#REF!</v>
      </c>
      <c r="Q7" s="46" t="e">
        <f t="shared" si="4"/>
        <v>#REF!</v>
      </c>
      <c r="R7" s="46" t="e">
        <f t="shared" si="4"/>
        <v>#REF!</v>
      </c>
      <c r="S7" s="46" t="e">
        <f t="shared" si="4"/>
        <v>#REF!</v>
      </c>
      <c r="T7" s="46" t="e">
        <f t="shared" si="4"/>
        <v>#REF!</v>
      </c>
      <c r="U7" s="46" t="e">
        <f t="shared" si="4"/>
        <v>#REF!</v>
      </c>
      <c r="V7" s="46" t="e">
        <f t="shared" si="4"/>
        <v>#REF!</v>
      </c>
      <c r="W7" s="46" t="e">
        <f t="shared" si="4"/>
        <v>#REF!</v>
      </c>
      <c r="X7" s="46" t="e">
        <f t="shared" si="4"/>
        <v>#REF!</v>
      </c>
      <c r="Y7" s="46" t="e">
        <f t="shared" si="4"/>
        <v>#REF!</v>
      </c>
      <c r="Z7" s="46" t="e">
        <f t="shared" si="4"/>
        <v>#REF!</v>
      </c>
      <c r="AA7" s="46" t="e">
        <f t="shared" si="4"/>
        <v>#REF!</v>
      </c>
      <c r="AB7" s="46" t="e">
        <f t="shared" si="4"/>
        <v>#REF!</v>
      </c>
      <c r="AC7" s="46" t="e">
        <f t="shared" si="4"/>
        <v>#REF!</v>
      </c>
    </row>
    <row r="8" spans="2:29" x14ac:dyDescent="0.25">
      <c r="B8" s="41"/>
      <c r="C8" s="45"/>
      <c r="D8" s="46">
        <f>+'DATOS '!F64*-1</f>
        <v>-9114780.0800000001</v>
      </c>
      <c r="E8" s="46" t="e">
        <f>+E7</f>
        <v>#REF!</v>
      </c>
      <c r="F8" s="46" t="e">
        <f t="shared" ref="F8:AC8" si="5">+F7</f>
        <v>#REF!</v>
      </c>
      <c r="G8" s="46" t="e">
        <f t="shared" si="5"/>
        <v>#REF!</v>
      </c>
      <c r="H8" s="46" t="e">
        <f t="shared" si="5"/>
        <v>#REF!</v>
      </c>
      <c r="I8" s="46" t="e">
        <f t="shared" si="5"/>
        <v>#REF!</v>
      </c>
      <c r="J8" s="46" t="e">
        <f t="shared" si="5"/>
        <v>#REF!</v>
      </c>
      <c r="K8" s="46" t="e">
        <f t="shared" si="5"/>
        <v>#REF!</v>
      </c>
      <c r="L8" s="46" t="e">
        <f t="shared" si="5"/>
        <v>#REF!</v>
      </c>
      <c r="M8" s="46" t="e">
        <f t="shared" si="5"/>
        <v>#REF!</v>
      </c>
      <c r="N8" s="46" t="e">
        <f t="shared" si="5"/>
        <v>#REF!</v>
      </c>
      <c r="O8" s="46" t="e">
        <f t="shared" si="5"/>
        <v>#REF!</v>
      </c>
      <c r="P8" s="46" t="e">
        <f t="shared" si="5"/>
        <v>#REF!</v>
      </c>
      <c r="Q8" s="46" t="e">
        <f t="shared" si="5"/>
        <v>#REF!</v>
      </c>
      <c r="R8" s="46" t="e">
        <f t="shared" si="5"/>
        <v>#REF!</v>
      </c>
      <c r="S8" s="46" t="e">
        <f t="shared" si="5"/>
        <v>#REF!</v>
      </c>
      <c r="T8" s="46" t="e">
        <f t="shared" si="5"/>
        <v>#REF!</v>
      </c>
      <c r="U8" s="46" t="e">
        <f t="shared" si="5"/>
        <v>#REF!</v>
      </c>
      <c r="V8" s="46" t="e">
        <f t="shared" si="5"/>
        <v>#REF!</v>
      </c>
      <c r="W8" s="46" t="e">
        <f t="shared" si="5"/>
        <v>#REF!</v>
      </c>
      <c r="X8" s="46" t="e">
        <f t="shared" si="5"/>
        <v>#REF!</v>
      </c>
      <c r="Y8" s="46" t="e">
        <f t="shared" si="5"/>
        <v>#REF!</v>
      </c>
      <c r="Z8" s="46" t="e">
        <f t="shared" si="5"/>
        <v>#REF!</v>
      </c>
      <c r="AA8" s="46" t="e">
        <f t="shared" si="5"/>
        <v>#REF!</v>
      </c>
      <c r="AB8" s="46" t="e">
        <f t="shared" si="5"/>
        <v>#REF!</v>
      </c>
      <c r="AC8" s="46" t="e">
        <f t="shared" si="5"/>
        <v>#REF!</v>
      </c>
    </row>
    <row r="9" spans="2:29" x14ac:dyDescent="0.25">
      <c r="C9" t="s">
        <v>160</v>
      </c>
      <c r="D9" s="39">
        <f>+D8*-1</f>
        <v>9114780.0800000001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29" x14ac:dyDescent="0.25">
      <c r="B10" s="200" t="s">
        <v>132</v>
      </c>
      <c r="C10" s="47" t="s">
        <v>104</v>
      </c>
      <c r="D10" s="48">
        <v>0</v>
      </c>
      <c r="E10" s="48">
        <f>+Capacidad!O7*1</f>
        <v>2.2437209302325581E-2</v>
      </c>
      <c r="F10" s="48">
        <f>+E10</f>
        <v>2.2437209302325581E-2</v>
      </c>
      <c r="G10" s="48">
        <f t="shared" ref="G10:AC10" si="6">+F10</f>
        <v>2.2437209302325581E-2</v>
      </c>
      <c r="H10" s="48">
        <f t="shared" si="6"/>
        <v>2.2437209302325581E-2</v>
      </c>
      <c r="I10" s="48">
        <f t="shared" si="6"/>
        <v>2.2437209302325581E-2</v>
      </c>
      <c r="J10" s="48">
        <f t="shared" si="6"/>
        <v>2.2437209302325581E-2</v>
      </c>
      <c r="K10" s="48">
        <f t="shared" si="6"/>
        <v>2.2437209302325581E-2</v>
      </c>
      <c r="L10" s="48">
        <f t="shared" si="6"/>
        <v>2.2437209302325581E-2</v>
      </c>
      <c r="M10" s="48">
        <f t="shared" si="6"/>
        <v>2.2437209302325581E-2</v>
      </c>
      <c r="N10" s="48">
        <f t="shared" si="6"/>
        <v>2.2437209302325581E-2</v>
      </c>
      <c r="O10" s="48">
        <f t="shared" si="6"/>
        <v>2.2437209302325581E-2</v>
      </c>
      <c r="P10" s="48">
        <f t="shared" si="6"/>
        <v>2.2437209302325581E-2</v>
      </c>
      <c r="Q10" s="48">
        <f t="shared" si="6"/>
        <v>2.2437209302325581E-2</v>
      </c>
      <c r="R10" s="48">
        <f t="shared" si="6"/>
        <v>2.2437209302325581E-2</v>
      </c>
      <c r="S10" s="48">
        <f t="shared" si="6"/>
        <v>2.2437209302325581E-2</v>
      </c>
      <c r="T10" s="48">
        <f t="shared" si="6"/>
        <v>2.2437209302325581E-2</v>
      </c>
      <c r="U10" s="48">
        <f t="shared" si="6"/>
        <v>2.2437209302325581E-2</v>
      </c>
      <c r="V10" s="48">
        <f t="shared" si="6"/>
        <v>2.2437209302325581E-2</v>
      </c>
      <c r="W10" s="48">
        <f t="shared" si="6"/>
        <v>2.2437209302325581E-2</v>
      </c>
      <c r="X10" s="48">
        <f t="shared" si="6"/>
        <v>2.2437209302325581E-2</v>
      </c>
      <c r="Y10" s="48">
        <f t="shared" si="6"/>
        <v>2.2437209302325581E-2</v>
      </c>
      <c r="Z10" s="48">
        <f t="shared" si="6"/>
        <v>2.2437209302325581E-2</v>
      </c>
      <c r="AA10" s="48">
        <f t="shared" si="6"/>
        <v>2.2437209302325581E-2</v>
      </c>
      <c r="AB10" s="48">
        <f t="shared" si="6"/>
        <v>2.2437209302325581E-2</v>
      </c>
      <c r="AC10" s="48">
        <f t="shared" si="6"/>
        <v>2.2437209302325581E-2</v>
      </c>
    </row>
    <row r="11" spans="2:29" x14ac:dyDescent="0.25">
      <c r="B11" s="200"/>
      <c r="C11" s="47" t="s">
        <v>102</v>
      </c>
      <c r="D11" s="48">
        <v>0</v>
      </c>
      <c r="E11" s="48" t="e">
        <f>+Capacidad!#REF!*LCOH!#REF!</f>
        <v>#REF!</v>
      </c>
      <c r="F11" s="48" t="e">
        <f>+E11</f>
        <v>#REF!</v>
      </c>
      <c r="G11" s="48" t="e">
        <f t="shared" ref="G11:AC11" si="7">+F11</f>
        <v>#REF!</v>
      </c>
      <c r="H11" s="48" t="e">
        <f t="shared" si="7"/>
        <v>#REF!</v>
      </c>
      <c r="I11" s="48" t="e">
        <f t="shared" si="7"/>
        <v>#REF!</v>
      </c>
      <c r="J11" s="48" t="e">
        <f t="shared" si="7"/>
        <v>#REF!</v>
      </c>
      <c r="K11" s="48" t="e">
        <f t="shared" si="7"/>
        <v>#REF!</v>
      </c>
      <c r="L11" s="48" t="e">
        <f t="shared" si="7"/>
        <v>#REF!</v>
      </c>
      <c r="M11" s="48" t="e">
        <f t="shared" si="7"/>
        <v>#REF!</v>
      </c>
      <c r="N11" s="48" t="e">
        <f t="shared" si="7"/>
        <v>#REF!</v>
      </c>
      <c r="O11" s="48" t="e">
        <f t="shared" si="7"/>
        <v>#REF!</v>
      </c>
      <c r="P11" s="48" t="e">
        <f t="shared" si="7"/>
        <v>#REF!</v>
      </c>
      <c r="Q11" s="48" t="e">
        <f t="shared" si="7"/>
        <v>#REF!</v>
      </c>
      <c r="R11" s="48" t="e">
        <f t="shared" si="7"/>
        <v>#REF!</v>
      </c>
      <c r="S11" s="48" t="e">
        <f t="shared" si="7"/>
        <v>#REF!</v>
      </c>
      <c r="T11" s="48" t="e">
        <f t="shared" si="7"/>
        <v>#REF!</v>
      </c>
      <c r="U11" s="48" t="e">
        <f t="shared" si="7"/>
        <v>#REF!</v>
      </c>
      <c r="V11" s="48" t="e">
        <f t="shared" si="7"/>
        <v>#REF!</v>
      </c>
      <c r="W11" s="48" t="e">
        <f t="shared" si="7"/>
        <v>#REF!</v>
      </c>
      <c r="X11" s="48" t="e">
        <f t="shared" si="7"/>
        <v>#REF!</v>
      </c>
      <c r="Y11" s="48" t="e">
        <f t="shared" si="7"/>
        <v>#REF!</v>
      </c>
      <c r="Z11" s="48" t="e">
        <f t="shared" si="7"/>
        <v>#REF!</v>
      </c>
      <c r="AA11" s="48" t="e">
        <f t="shared" si="7"/>
        <v>#REF!</v>
      </c>
      <c r="AB11" s="48" t="e">
        <f t="shared" si="7"/>
        <v>#REF!</v>
      </c>
      <c r="AC11" s="48" t="e">
        <f t="shared" si="7"/>
        <v>#REF!</v>
      </c>
    </row>
    <row r="12" spans="2:29" x14ac:dyDescent="0.25">
      <c r="B12" s="200"/>
      <c r="C12" s="47" t="s">
        <v>161</v>
      </c>
      <c r="D12" s="48">
        <f>+'DATOS '!F60</f>
        <v>406909.82500000001</v>
      </c>
      <c r="E12" s="48">
        <f>+D12*1.03</f>
        <v>419117.11975000001</v>
      </c>
      <c r="F12" s="48">
        <f>+E12*1.03</f>
        <v>431690.63334250002</v>
      </c>
      <c r="G12" s="48">
        <f>+F12*1.03</f>
        <v>444641.35234277503</v>
      </c>
      <c r="H12" s="48">
        <f t="shared" ref="H12:N13" si="8">+G12*1.03</f>
        <v>457980.5929130583</v>
      </c>
      <c r="I12" s="48">
        <f t="shared" si="8"/>
        <v>471720.01070045005</v>
      </c>
      <c r="J12" s="48">
        <f t="shared" si="8"/>
        <v>485871.61102146358</v>
      </c>
      <c r="K12" s="48">
        <f t="shared" si="8"/>
        <v>500447.75935210753</v>
      </c>
      <c r="L12" s="48">
        <f t="shared" si="8"/>
        <v>515461.19213267078</v>
      </c>
      <c r="M12" s="48">
        <f t="shared" si="8"/>
        <v>530925.02789665095</v>
      </c>
      <c r="N12" s="48">
        <f>+M12*1.03</f>
        <v>546852.77873355045</v>
      </c>
      <c r="O12" s="48">
        <f t="shared" ref="O12:AC13" si="9">+N12*1.03</f>
        <v>563258.36209555704</v>
      </c>
      <c r="P12" s="48">
        <f t="shared" si="9"/>
        <v>580156.11295842379</v>
      </c>
      <c r="Q12" s="48">
        <f t="shared" si="9"/>
        <v>597560.79634717654</v>
      </c>
      <c r="R12" s="48">
        <f t="shared" si="9"/>
        <v>615487.62023759191</v>
      </c>
      <c r="S12" s="48">
        <f t="shared" si="9"/>
        <v>633952.24884471972</v>
      </c>
      <c r="T12" s="48">
        <f t="shared" si="9"/>
        <v>652970.81631006137</v>
      </c>
      <c r="U12" s="48">
        <f t="shared" si="9"/>
        <v>672559.94079936319</v>
      </c>
      <c r="V12" s="48">
        <f t="shared" si="9"/>
        <v>692736.73902334413</v>
      </c>
      <c r="W12" s="48">
        <f t="shared" si="9"/>
        <v>713518.84119404445</v>
      </c>
      <c r="X12" s="48">
        <f t="shared" si="9"/>
        <v>734924.40642986575</v>
      </c>
      <c r="Y12" s="48">
        <f t="shared" si="9"/>
        <v>756972.1386227617</v>
      </c>
      <c r="Z12" s="48">
        <f t="shared" si="9"/>
        <v>779681.30278144462</v>
      </c>
      <c r="AA12" s="48">
        <f t="shared" si="9"/>
        <v>803071.741864888</v>
      </c>
      <c r="AB12" s="48">
        <f t="shared" si="9"/>
        <v>827163.89412083465</v>
      </c>
      <c r="AC12" s="48">
        <f t="shared" si="9"/>
        <v>851978.81094445975</v>
      </c>
    </row>
    <row r="13" spans="2:29" x14ac:dyDescent="0.25">
      <c r="B13" s="200"/>
      <c r="C13" s="47" t="s">
        <v>162</v>
      </c>
      <c r="D13" s="48"/>
      <c r="E13" s="48">
        <f>+'DATOS '!F61+'DATOS '!F62</f>
        <v>569673.755</v>
      </c>
      <c r="F13" s="48">
        <f>+E13*1.03</f>
        <v>586763.96765000001</v>
      </c>
      <c r="G13" s="48">
        <f t="shared" ref="G13" si="10">+F13*1.03</f>
        <v>604366.88667949999</v>
      </c>
      <c r="H13" s="48">
        <f t="shared" si="8"/>
        <v>622497.89327988506</v>
      </c>
      <c r="I13" s="48">
        <f t="shared" si="8"/>
        <v>641172.83007828158</v>
      </c>
      <c r="J13" s="48">
        <f t="shared" si="8"/>
        <v>660408.01498063002</v>
      </c>
      <c r="K13" s="48">
        <f t="shared" si="8"/>
        <v>680220.25543004891</v>
      </c>
      <c r="L13" s="48">
        <f t="shared" si="8"/>
        <v>700626.86309295043</v>
      </c>
      <c r="M13" s="48">
        <f t="shared" si="8"/>
        <v>721645.668985739</v>
      </c>
      <c r="N13" s="48">
        <f t="shared" si="8"/>
        <v>743295.03905531124</v>
      </c>
      <c r="O13" s="48">
        <f t="shared" si="9"/>
        <v>765593.89022697054</v>
      </c>
      <c r="P13" s="48">
        <f t="shared" si="9"/>
        <v>788561.70693377964</v>
      </c>
      <c r="Q13" s="48">
        <f t="shared" si="9"/>
        <v>812218.55814179301</v>
      </c>
      <c r="R13" s="48">
        <f t="shared" si="9"/>
        <v>836585.11488604685</v>
      </c>
      <c r="S13" s="48">
        <f t="shared" si="9"/>
        <v>861682.66833262832</v>
      </c>
      <c r="T13" s="48">
        <f t="shared" si="9"/>
        <v>887533.14838260715</v>
      </c>
      <c r="U13" s="48">
        <f t="shared" si="9"/>
        <v>914159.14283408539</v>
      </c>
      <c r="V13" s="48">
        <f t="shared" si="9"/>
        <v>941583.91711910802</v>
      </c>
      <c r="W13" s="48">
        <f t="shared" si="9"/>
        <v>969831.43463268131</v>
      </c>
      <c r="X13" s="48">
        <f t="shared" si="9"/>
        <v>998926.37767166179</v>
      </c>
      <c r="Y13" s="48">
        <f t="shared" si="9"/>
        <v>1028894.1690018116</v>
      </c>
      <c r="Z13" s="48">
        <f t="shared" si="9"/>
        <v>1059760.9940718659</v>
      </c>
      <c r="AA13" s="48">
        <f t="shared" si="9"/>
        <v>1091553.823894022</v>
      </c>
      <c r="AB13" s="48">
        <f t="shared" si="9"/>
        <v>1124300.4386108427</v>
      </c>
      <c r="AC13" s="48">
        <f t="shared" si="9"/>
        <v>1158029.451769168</v>
      </c>
    </row>
    <row r="14" spans="2:29" hidden="1" x14ac:dyDescent="0.25">
      <c r="B14" s="200"/>
      <c r="C14" s="47" t="s">
        <v>137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</row>
    <row r="15" spans="2:29" hidden="1" x14ac:dyDescent="0.25">
      <c r="B15" s="200"/>
      <c r="C15" s="47" t="s">
        <v>138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</row>
    <row r="16" spans="2:29" x14ac:dyDescent="0.25">
      <c r="B16" s="200"/>
      <c r="C16" s="49" t="s">
        <v>105</v>
      </c>
      <c r="D16" s="50">
        <f>+SUM(D9:D15)</f>
        <v>9521689.9049999993</v>
      </c>
      <c r="E16" s="50">
        <f>+SUM(E12:E15)</f>
        <v>988790.87474999996</v>
      </c>
      <c r="F16" s="50">
        <f>+SUM(F12:F15)</f>
        <v>1018454.6009925001</v>
      </c>
      <c r="G16" s="50">
        <f t="shared" ref="G16:AC16" si="11">+SUM(G12:G15)</f>
        <v>1049008.239022275</v>
      </c>
      <c r="H16" s="50">
        <f t="shared" si="11"/>
        <v>1080478.4861929433</v>
      </c>
      <c r="I16" s="50">
        <f t="shared" si="11"/>
        <v>1112892.8407787317</v>
      </c>
      <c r="J16" s="50">
        <f t="shared" si="11"/>
        <v>1146279.6260020935</v>
      </c>
      <c r="K16" s="50">
        <f t="shared" si="11"/>
        <v>1180668.0147821563</v>
      </c>
      <c r="L16" s="50">
        <f t="shared" si="11"/>
        <v>1216088.0552256212</v>
      </c>
      <c r="M16" s="50">
        <f t="shared" si="11"/>
        <v>1252570.69688239</v>
      </c>
      <c r="N16" s="50">
        <f t="shared" si="11"/>
        <v>1290147.8177888617</v>
      </c>
      <c r="O16" s="50">
        <f t="shared" si="11"/>
        <v>1328852.2523225276</v>
      </c>
      <c r="P16" s="50">
        <f t="shared" si="11"/>
        <v>1368717.8198922034</v>
      </c>
      <c r="Q16" s="50">
        <f t="shared" si="11"/>
        <v>1409779.3544889695</v>
      </c>
      <c r="R16" s="50">
        <f t="shared" si="11"/>
        <v>1452072.7351236388</v>
      </c>
      <c r="S16" s="50">
        <f t="shared" si="11"/>
        <v>1495634.9171773479</v>
      </c>
      <c r="T16" s="50">
        <f t="shared" si="11"/>
        <v>1540503.9646926685</v>
      </c>
      <c r="U16" s="50">
        <f t="shared" si="11"/>
        <v>1586719.0836334485</v>
      </c>
      <c r="V16" s="50">
        <f t="shared" si="11"/>
        <v>1634320.6561424523</v>
      </c>
      <c r="W16" s="50">
        <f t="shared" si="11"/>
        <v>1683350.2758267256</v>
      </c>
      <c r="X16" s="50">
        <f t="shared" si="11"/>
        <v>1733850.7841015276</v>
      </c>
      <c r="Y16" s="50">
        <f t="shared" si="11"/>
        <v>1785866.3076245734</v>
      </c>
      <c r="Z16" s="50">
        <f t="shared" si="11"/>
        <v>1839442.2968533104</v>
      </c>
      <c r="AA16" s="50">
        <f t="shared" si="11"/>
        <v>1894625.56575891</v>
      </c>
      <c r="AB16" s="50">
        <f t="shared" si="11"/>
        <v>1951464.3327316772</v>
      </c>
      <c r="AC16" s="50">
        <f t="shared" si="11"/>
        <v>2010008.2627136279</v>
      </c>
    </row>
    <row r="17" spans="2:29" x14ac:dyDescent="0.25">
      <c r="B17" s="197" t="s">
        <v>139</v>
      </c>
      <c r="C17" s="51" t="s">
        <v>140</v>
      </c>
      <c r="D17" s="52">
        <f>+'DATOS '!$K$27</f>
        <v>2285585</v>
      </c>
      <c r="E17" s="52">
        <f>+'DATOS '!$K$27</f>
        <v>2285585</v>
      </c>
      <c r="F17" s="52">
        <f>+'DATOS '!$K$27</f>
        <v>2285585</v>
      </c>
      <c r="G17" s="52">
        <f>+'DATOS '!$K$27</f>
        <v>2285585</v>
      </c>
      <c r="H17" s="52">
        <f>+'DATOS '!$K$27</f>
        <v>2285585</v>
      </c>
      <c r="I17" s="52">
        <f>+'DATOS '!$K$27</f>
        <v>2285585</v>
      </c>
      <c r="J17" s="52">
        <f>+'DATOS '!$K$27</f>
        <v>2285585</v>
      </c>
      <c r="K17" s="52">
        <f>+'DATOS '!$K$27</f>
        <v>2285585</v>
      </c>
      <c r="L17" s="52">
        <f>+'DATOS '!$K$27</f>
        <v>2285585</v>
      </c>
      <c r="M17" s="52">
        <f>+'DATOS '!$K$27</f>
        <v>2285585</v>
      </c>
      <c r="N17" s="52">
        <f>+'DATOS '!$K$27</f>
        <v>2285585</v>
      </c>
      <c r="O17" s="52">
        <f>+'DATOS '!$K$27</f>
        <v>2285585</v>
      </c>
      <c r="P17" s="52">
        <f>+'DATOS '!$K$27</f>
        <v>2285585</v>
      </c>
      <c r="Q17" s="52">
        <f>+'DATOS '!$K$27</f>
        <v>2285585</v>
      </c>
      <c r="R17" s="52">
        <f>+'DATOS '!$K$27</f>
        <v>2285585</v>
      </c>
      <c r="S17" s="52">
        <f>+'DATOS '!$K$27</f>
        <v>2285585</v>
      </c>
      <c r="T17" s="52"/>
      <c r="U17" s="52"/>
      <c r="V17" s="52"/>
      <c r="W17" s="52"/>
      <c r="X17" s="52"/>
      <c r="Y17" s="52"/>
      <c r="Z17" s="52"/>
      <c r="AA17" s="52"/>
      <c r="AB17" s="52"/>
      <c r="AC17" s="52"/>
    </row>
    <row r="18" spans="2:29" x14ac:dyDescent="0.25">
      <c r="B18" s="197"/>
      <c r="C18" s="51" t="s">
        <v>163</v>
      </c>
      <c r="D18" s="52">
        <f>+'DATOS '!$M$27</f>
        <v>1523570.9609999999</v>
      </c>
      <c r="E18" s="52">
        <f>+'DATOS '!$M$27</f>
        <v>1523570.9609999999</v>
      </c>
      <c r="F18" s="52">
        <f>+'DATOS '!$M$27</f>
        <v>1523570.9609999999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2:29" hidden="1" x14ac:dyDescent="0.25">
      <c r="B19" s="197"/>
      <c r="C19" s="51" t="s">
        <v>142</v>
      </c>
      <c r="D19" s="52">
        <f>+'DATOS '!M28</f>
        <v>1130309.2911</v>
      </c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2:29" x14ac:dyDescent="0.25">
      <c r="B20" s="197"/>
      <c r="C20" s="51" t="s">
        <v>143</v>
      </c>
      <c r="D20" s="52">
        <f>+D17-D18</f>
        <v>762014.03900000011</v>
      </c>
      <c r="E20" s="52">
        <f t="shared" ref="E20:AC20" si="12">+E17-E18</f>
        <v>762014.03900000011</v>
      </c>
      <c r="F20" s="52">
        <f t="shared" si="12"/>
        <v>762014.03900000011</v>
      </c>
      <c r="G20" s="52">
        <f t="shared" si="12"/>
        <v>2285585</v>
      </c>
      <c r="H20" s="52">
        <f t="shared" si="12"/>
        <v>2285585</v>
      </c>
      <c r="I20" s="52">
        <f t="shared" si="12"/>
        <v>2285585</v>
      </c>
      <c r="J20" s="52">
        <f t="shared" si="12"/>
        <v>2285585</v>
      </c>
      <c r="K20" s="52">
        <f t="shared" si="12"/>
        <v>2285585</v>
      </c>
      <c r="L20" s="52">
        <f t="shared" si="12"/>
        <v>2285585</v>
      </c>
      <c r="M20" s="52">
        <f t="shared" si="12"/>
        <v>2285585</v>
      </c>
      <c r="N20" s="52">
        <f t="shared" si="12"/>
        <v>2285585</v>
      </c>
      <c r="O20" s="52">
        <f t="shared" si="12"/>
        <v>2285585</v>
      </c>
      <c r="P20" s="52">
        <f t="shared" si="12"/>
        <v>2285585</v>
      </c>
      <c r="Q20" s="52">
        <f t="shared" si="12"/>
        <v>2285585</v>
      </c>
      <c r="R20" s="52">
        <f t="shared" si="12"/>
        <v>2285585</v>
      </c>
      <c r="S20" s="52">
        <f t="shared" si="12"/>
        <v>2285585</v>
      </c>
      <c r="T20" s="52">
        <f t="shared" si="12"/>
        <v>0</v>
      </c>
      <c r="U20" s="52">
        <f t="shared" si="12"/>
        <v>0</v>
      </c>
      <c r="V20" s="52">
        <f t="shared" si="12"/>
        <v>0</v>
      </c>
      <c r="W20" s="52">
        <f t="shared" si="12"/>
        <v>0</v>
      </c>
      <c r="X20" s="52">
        <f t="shared" si="12"/>
        <v>0</v>
      </c>
      <c r="Y20" s="52">
        <f t="shared" si="12"/>
        <v>0</v>
      </c>
      <c r="Z20" s="52">
        <f t="shared" si="12"/>
        <v>0</v>
      </c>
      <c r="AA20" s="52">
        <f t="shared" si="12"/>
        <v>0</v>
      </c>
      <c r="AB20" s="52">
        <f t="shared" si="12"/>
        <v>0</v>
      </c>
      <c r="AC20" s="52">
        <f t="shared" si="12"/>
        <v>0</v>
      </c>
    </row>
    <row r="21" spans="2:29" x14ac:dyDescent="0.25">
      <c r="B21" s="197"/>
      <c r="C21" s="53" t="s">
        <v>144</v>
      </c>
      <c r="D21" s="54">
        <f>+D20*0.14-D19</f>
        <v>-1023627.3256400001</v>
      </c>
      <c r="E21" s="54">
        <f t="shared" ref="E21:AC21" si="13">+E20*0.14-E19</f>
        <v>106681.96546000002</v>
      </c>
      <c r="F21" s="54">
        <f t="shared" si="13"/>
        <v>106681.96546000002</v>
      </c>
      <c r="G21" s="54">
        <f t="shared" si="13"/>
        <v>319981.90000000002</v>
      </c>
      <c r="H21" s="54">
        <f t="shared" si="13"/>
        <v>319981.90000000002</v>
      </c>
      <c r="I21" s="54">
        <f t="shared" si="13"/>
        <v>319981.90000000002</v>
      </c>
      <c r="J21" s="54">
        <f t="shared" si="13"/>
        <v>319981.90000000002</v>
      </c>
      <c r="K21" s="54">
        <f t="shared" si="13"/>
        <v>319981.90000000002</v>
      </c>
      <c r="L21" s="54">
        <f t="shared" si="13"/>
        <v>319981.90000000002</v>
      </c>
      <c r="M21" s="54">
        <f t="shared" si="13"/>
        <v>319981.90000000002</v>
      </c>
      <c r="N21" s="54">
        <f t="shared" si="13"/>
        <v>319981.90000000002</v>
      </c>
      <c r="O21" s="54">
        <f t="shared" si="13"/>
        <v>319981.90000000002</v>
      </c>
      <c r="P21" s="54">
        <f t="shared" si="13"/>
        <v>319981.90000000002</v>
      </c>
      <c r="Q21" s="54">
        <f t="shared" si="13"/>
        <v>319981.90000000002</v>
      </c>
      <c r="R21" s="54">
        <f t="shared" si="13"/>
        <v>319981.90000000002</v>
      </c>
      <c r="S21" s="54">
        <f t="shared" si="13"/>
        <v>319981.90000000002</v>
      </c>
      <c r="T21" s="54">
        <f t="shared" si="13"/>
        <v>0</v>
      </c>
      <c r="U21" s="54">
        <f t="shared" si="13"/>
        <v>0</v>
      </c>
      <c r="V21" s="54">
        <f t="shared" si="13"/>
        <v>0</v>
      </c>
      <c r="W21" s="54">
        <f t="shared" si="13"/>
        <v>0</v>
      </c>
      <c r="X21" s="54">
        <f t="shared" si="13"/>
        <v>0</v>
      </c>
      <c r="Y21" s="54">
        <f t="shared" si="13"/>
        <v>0</v>
      </c>
      <c r="Z21" s="54">
        <f t="shared" si="13"/>
        <v>0</v>
      </c>
      <c r="AA21" s="54">
        <f t="shared" si="13"/>
        <v>0</v>
      </c>
      <c r="AB21" s="54">
        <f t="shared" si="13"/>
        <v>0</v>
      </c>
      <c r="AC21" s="54">
        <f t="shared" si="13"/>
        <v>0</v>
      </c>
    </row>
    <row r="22" spans="2:29" x14ac:dyDescent="0.25">
      <c r="B22" s="206" t="s">
        <v>145</v>
      </c>
      <c r="C22" s="206"/>
      <c r="D22" s="52">
        <f>+D7-(D21+D16)</f>
        <v>-8498062.5793599989</v>
      </c>
      <c r="E22" s="52" t="e">
        <f>+E7-(E21+E16)</f>
        <v>#REF!</v>
      </c>
      <c r="F22" s="52" t="e">
        <f t="shared" ref="F22:AC22" si="14">+F7-F21-F16</f>
        <v>#REF!</v>
      </c>
      <c r="G22" s="52" t="e">
        <f t="shared" si="14"/>
        <v>#REF!</v>
      </c>
      <c r="H22" s="52" t="e">
        <f t="shared" si="14"/>
        <v>#REF!</v>
      </c>
      <c r="I22" s="52" t="e">
        <f t="shared" si="14"/>
        <v>#REF!</v>
      </c>
      <c r="J22" s="52" t="e">
        <f t="shared" si="14"/>
        <v>#REF!</v>
      </c>
      <c r="K22" s="52" t="e">
        <f t="shared" si="14"/>
        <v>#REF!</v>
      </c>
      <c r="L22" s="52" t="e">
        <f t="shared" si="14"/>
        <v>#REF!</v>
      </c>
      <c r="M22" s="52" t="e">
        <f t="shared" si="14"/>
        <v>#REF!</v>
      </c>
      <c r="N22" s="52" t="e">
        <f t="shared" si="14"/>
        <v>#REF!</v>
      </c>
      <c r="O22" s="52" t="e">
        <f t="shared" si="14"/>
        <v>#REF!</v>
      </c>
      <c r="P22" s="52" t="e">
        <f t="shared" si="14"/>
        <v>#REF!</v>
      </c>
      <c r="Q22" s="52" t="e">
        <f t="shared" si="14"/>
        <v>#REF!</v>
      </c>
      <c r="R22" s="52" t="e">
        <f t="shared" si="14"/>
        <v>#REF!</v>
      </c>
      <c r="S22" s="52" t="e">
        <f t="shared" si="14"/>
        <v>#REF!</v>
      </c>
      <c r="T22" s="52" t="e">
        <f t="shared" si="14"/>
        <v>#REF!</v>
      </c>
      <c r="U22" s="52" t="e">
        <f t="shared" si="14"/>
        <v>#REF!</v>
      </c>
      <c r="V22" s="52" t="e">
        <f t="shared" si="14"/>
        <v>#REF!</v>
      </c>
      <c r="W22" s="52" t="e">
        <f t="shared" si="14"/>
        <v>#REF!</v>
      </c>
      <c r="X22" s="52" t="e">
        <f t="shared" si="14"/>
        <v>#REF!</v>
      </c>
      <c r="Y22" s="52" t="e">
        <f t="shared" si="14"/>
        <v>#REF!</v>
      </c>
      <c r="Z22" s="52" t="e">
        <f t="shared" si="14"/>
        <v>#REF!</v>
      </c>
      <c r="AA22" s="52" t="e">
        <f t="shared" si="14"/>
        <v>#REF!</v>
      </c>
      <c r="AB22" s="52" t="e">
        <f t="shared" si="14"/>
        <v>#REF!</v>
      </c>
      <c r="AC22" s="52" t="e">
        <f t="shared" si="14"/>
        <v>#REF!</v>
      </c>
    </row>
    <row r="23" spans="2:29" x14ac:dyDescent="0.25">
      <c r="B23" s="207" t="s">
        <v>146</v>
      </c>
      <c r="C23" s="207"/>
      <c r="D23" s="55">
        <f>1/(1+0.12)^(D2+1)</f>
        <v>0.89285714285714279</v>
      </c>
      <c r="E23" s="55">
        <f>1/(1+0.12)^(E2+1)</f>
        <v>0.79719387755102034</v>
      </c>
      <c r="F23" s="55">
        <f t="shared" ref="F23:AC23" si="15">1/(1+0.12)^(F2+1)</f>
        <v>0.71178024781341087</v>
      </c>
      <c r="G23" s="55">
        <f t="shared" si="15"/>
        <v>0.63551807840483121</v>
      </c>
      <c r="H23" s="55">
        <f t="shared" si="15"/>
        <v>0.56742685571859919</v>
      </c>
      <c r="I23" s="55">
        <f t="shared" si="15"/>
        <v>0.50663112117732068</v>
      </c>
      <c r="J23" s="55">
        <f t="shared" si="15"/>
        <v>0.45234921533689343</v>
      </c>
      <c r="K23" s="55">
        <f t="shared" si="15"/>
        <v>0.4038832279793691</v>
      </c>
      <c r="L23" s="55">
        <f t="shared" si="15"/>
        <v>0.36061002498157957</v>
      </c>
      <c r="M23" s="55">
        <f t="shared" si="15"/>
        <v>0.32197323659069599</v>
      </c>
      <c r="N23" s="55">
        <f t="shared" si="15"/>
        <v>0.28747610409883567</v>
      </c>
      <c r="O23" s="55">
        <f t="shared" si="15"/>
        <v>0.25667509294538904</v>
      </c>
      <c r="P23" s="55">
        <f t="shared" si="15"/>
        <v>0.22917419012981158</v>
      </c>
      <c r="Q23" s="55">
        <f t="shared" si="15"/>
        <v>0.20461981261590317</v>
      </c>
      <c r="R23" s="55">
        <f t="shared" si="15"/>
        <v>0.18269626126419927</v>
      </c>
      <c r="S23" s="55">
        <f t="shared" si="15"/>
        <v>0.16312166184303503</v>
      </c>
      <c r="T23" s="55">
        <f t="shared" si="15"/>
        <v>0.14564434093128129</v>
      </c>
      <c r="U23" s="55">
        <f t="shared" si="15"/>
        <v>0.13003959011721541</v>
      </c>
      <c r="V23" s="55">
        <f t="shared" si="15"/>
        <v>0.1161067768903709</v>
      </c>
      <c r="W23" s="55">
        <f t="shared" si="15"/>
        <v>0.1036667650806883</v>
      </c>
      <c r="X23" s="55">
        <f t="shared" si="15"/>
        <v>9.2559611679185971E-2</v>
      </c>
      <c r="Y23" s="55">
        <f t="shared" si="15"/>
        <v>8.2642510427844609E-2</v>
      </c>
      <c r="Z23" s="55">
        <f t="shared" si="15"/>
        <v>7.3787955739146982E-2</v>
      </c>
      <c r="AA23" s="55">
        <f t="shared" si="15"/>
        <v>6.5882103338524081E-2</v>
      </c>
      <c r="AB23" s="55">
        <f t="shared" si="15"/>
        <v>5.8823306552253637E-2</v>
      </c>
      <c r="AC23" s="55">
        <f t="shared" si="15"/>
        <v>5.2520809421655032E-2</v>
      </c>
    </row>
    <row r="24" spans="2:29" x14ac:dyDescent="0.25">
      <c r="B24" s="202" t="s">
        <v>147</v>
      </c>
      <c r="C24" s="202"/>
      <c r="D24" s="5">
        <f>+D23*D22</f>
        <v>-7587555.8744285703</v>
      </c>
      <c r="E24" s="5" t="e">
        <f>+E23*E22</f>
        <v>#REF!</v>
      </c>
      <c r="F24" s="5" t="e">
        <f t="shared" ref="F24:R24" si="16">+F23*F22</f>
        <v>#REF!</v>
      </c>
      <c r="G24" s="5" t="e">
        <f t="shared" si="16"/>
        <v>#REF!</v>
      </c>
      <c r="H24" s="5" t="e">
        <f t="shared" si="16"/>
        <v>#REF!</v>
      </c>
      <c r="I24" s="5" t="e">
        <f t="shared" si="16"/>
        <v>#REF!</v>
      </c>
      <c r="J24" s="5" t="e">
        <f t="shared" si="16"/>
        <v>#REF!</v>
      </c>
      <c r="K24" s="5" t="e">
        <f t="shared" si="16"/>
        <v>#REF!</v>
      </c>
      <c r="L24" s="5" t="e">
        <f t="shared" si="16"/>
        <v>#REF!</v>
      </c>
      <c r="M24" s="5" t="e">
        <f t="shared" si="16"/>
        <v>#REF!</v>
      </c>
      <c r="N24" s="5" t="e">
        <f t="shared" si="16"/>
        <v>#REF!</v>
      </c>
      <c r="O24" s="5" t="e">
        <f t="shared" si="16"/>
        <v>#REF!</v>
      </c>
      <c r="P24" s="5" t="e">
        <f t="shared" si="16"/>
        <v>#REF!</v>
      </c>
      <c r="Q24" s="5" t="e">
        <f t="shared" si="16"/>
        <v>#REF!</v>
      </c>
      <c r="R24" s="5" t="e">
        <f t="shared" si="16"/>
        <v>#REF!</v>
      </c>
      <c r="S24" s="5" t="e">
        <f>+S23*S22</f>
        <v>#REF!</v>
      </c>
      <c r="T24" s="5" t="e">
        <f t="shared" ref="T24:AC24" si="17">+T23*T22</f>
        <v>#REF!</v>
      </c>
      <c r="U24" s="5" t="e">
        <f t="shared" si="17"/>
        <v>#REF!</v>
      </c>
      <c r="V24" s="5" t="e">
        <f t="shared" si="17"/>
        <v>#REF!</v>
      </c>
      <c r="W24" s="5" t="e">
        <f t="shared" si="17"/>
        <v>#REF!</v>
      </c>
      <c r="X24" s="5" t="e">
        <f t="shared" si="17"/>
        <v>#REF!</v>
      </c>
      <c r="Y24" s="5" t="e">
        <f t="shared" si="17"/>
        <v>#REF!</v>
      </c>
      <c r="Z24" s="5" t="e">
        <f t="shared" si="17"/>
        <v>#REF!</v>
      </c>
      <c r="AA24" s="5" t="e">
        <f t="shared" si="17"/>
        <v>#REF!</v>
      </c>
      <c r="AB24" s="5" t="e">
        <f t="shared" si="17"/>
        <v>#REF!</v>
      </c>
      <c r="AC24" s="5" t="e">
        <f t="shared" si="17"/>
        <v>#REF!</v>
      </c>
    </row>
    <row r="25" spans="2:29" x14ac:dyDescent="0.25">
      <c r="B25" s="202" t="s">
        <v>164</v>
      </c>
      <c r="C25" s="202"/>
      <c r="D25" s="5">
        <f>+SUM(D21:AC21)</f>
        <v>3349501.3052799995</v>
      </c>
    </row>
    <row r="26" spans="2:29" x14ac:dyDescent="0.25">
      <c r="D26" s="7"/>
    </row>
    <row r="27" spans="2:29" x14ac:dyDescent="0.25">
      <c r="C27" t="s">
        <v>149</v>
      </c>
      <c r="D27" s="81" t="e">
        <f>+IRR(D24:AC24)</f>
        <v>#VALUE!</v>
      </c>
    </row>
    <row r="29" spans="2:29" x14ac:dyDescent="0.25">
      <c r="E29" t="s">
        <v>151</v>
      </c>
      <c r="F29" t="s">
        <v>152</v>
      </c>
    </row>
    <row r="30" spans="2:29" x14ac:dyDescent="0.25">
      <c r="D30" s="5"/>
      <c r="E30" s="8">
        <v>5.0000000000000001E-3</v>
      </c>
      <c r="F30" s="5" t="e">
        <f t="shared" ref="F30:F35" si="18">+NPV(E30,$E$24:$AC$24)+$D$24</f>
        <v>#REF!</v>
      </c>
    </row>
    <row r="31" spans="2:29" x14ac:dyDescent="0.25">
      <c r="D31" s="5"/>
      <c r="E31" s="8">
        <f>+E30+0.01</f>
        <v>1.4999999999999999E-2</v>
      </c>
      <c r="F31" s="5" t="e">
        <f t="shared" si="18"/>
        <v>#REF!</v>
      </c>
    </row>
    <row r="32" spans="2:29" x14ac:dyDescent="0.25">
      <c r="D32" s="5"/>
      <c r="E32" s="8">
        <f t="shared" ref="E32:E88" si="19">+E31+0.01</f>
        <v>2.5000000000000001E-2</v>
      </c>
      <c r="F32" s="5" t="e">
        <f t="shared" si="18"/>
        <v>#REF!</v>
      </c>
    </row>
    <row r="33" spans="3:6" x14ac:dyDescent="0.25">
      <c r="D33" s="5"/>
      <c r="E33" s="8">
        <f t="shared" si="19"/>
        <v>3.5000000000000003E-2</v>
      </c>
      <c r="F33" s="5" t="e">
        <f t="shared" si="18"/>
        <v>#REF!</v>
      </c>
    </row>
    <row r="34" spans="3:6" x14ac:dyDescent="0.25">
      <c r="D34" s="5"/>
      <c r="E34" s="8">
        <f t="shared" si="19"/>
        <v>4.5000000000000005E-2</v>
      </c>
      <c r="F34" s="5" t="e">
        <f t="shared" si="18"/>
        <v>#REF!</v>
      </c>
    </row>
    <row r="35" spans="3:6" x14ac:dyDescent="0.25">
      <c r="D35" s="5"/>
      <c r="E35" s="8">
        <f t="shared" si="19"/>
        <v>5.5000000000000007E-2</v>
      </c>
      <c r="F35" s="5" t="e">
        <f t="shared" si="18"/>
        <v>#REF!</v>
      </c>
    </row>
    <row r="36" spans="3:6" x14ac:dyDescent="0.25">
      <c r="D36" s="5"/>
      <c r="E36" s="8">
        <f t="shared" si="19"/>
        <v>6.5000000000000002E-2</v>
      </c>
      <c r="F36" s="5" t="e">
        <f t="shared" ref="F36:F50" si="20">+NPV(E36,$E$24:$AC$24)+$D$24</f>
        <v>#REF!</v>
      </c>
    </row>
    <row r="37" spans="3:6" x14ac:dyDescent="0.25">
      <c r="D37" s="5"/>
      <c r="E37" s="8">
        <f t="shared" si="19"/>
        <v>7.4999999999999997E-2</v>
      </c>
      <c r="F37" s="5" t="e">
        <f t="shared" si="20"/>
        <v>#REF!</v>
      </c>
    </row>
    <row r="38" spans="3:6" x14ac:dyDescent="0.25">
      <c r="D38" s="5"/>
      <c r="E38" s="8">
        <f t="shared" si="19"/>
        <v>8.4999999999999992E-2</v>
      </c>
      <c r="F38" s="5" t="e">
        <f t="shared" si="20"/>
        <v>#REF!</v>
      </c>
    </row>
    <row r="39" spans="3:6" x14ac:dyDescent="0.25">
      <c r="D39" s="5"/>
      <c r="E39" s="8">
        <f t="shared" si="19"/>
        <v>9.4999999999999987E-2</v>
      </c>
      <c r="F39" s="5" t="e">
        <f t="shared" si="20"/>
        <v>#REF!</v>
      </c>
    </row>
    <row r="40" spans="3:6" x14ac:dyDescent="0.25">
      <c r="D40" s="5"/>
      <c r="E40" s="8">
        <f t="shared" si="19"/>
        <v>0.10499999999999998</v>
      </c>
      <c r="F40" s="5" t="e">
        <f t="shared" si="20"/>
        <v>#REF!</v>
      </c>
    </row>
    <row r="41" spans="3:6" x14ac:dyDescent="0.25">
      <c r="C41" s="7"/>
      <c r="E41" s="8">
        <f t="shared" si="19"/>
        <v>0.11499999999999998</v>
      </c>
      <c r="F41" s="5" t="e">
        <f t="shared" si="20"/>
        <v>#REF!</v>
      </c>
    </row>
    <row r="42" spans="3:6" x14ac:dyDescent="0.25">
      <c r="E42" s="8">
        <f t="shared" si="19"/>
        <v>0.12499999999999997</v>
      </c>
      <c r="F42" s="5" t="e">
        <f t="shared" si="20"/>
        <v>#REF!</v>
      </c>
    </row>
    <row r="43" spans="3:6" x14ac:dyDescent="0.25">
      <c r="E43" s="8">
        <f t="shared" si="19"/>
        <v>0.13499999999999998</v>
      </c>
      <c r="F43" s="5" t="e">
        <f t="shared" si="20"/>
        <v>#REF!</v>
      </c>
    </row>
    <row r="44" spans="3:6" x14ac:dyDescent="0.25">
      <c r="E44" s="8">
        <f t="shared" si="19"/>
        <v>0.14499999999999999</v>
      </c>
      <c r="F44" s="5" t="e">
        <f t="shared" si="20"/>
        <v>#REF!</v>
      </c>
    </row>
    <row r="45" spans="3:6" x14ac:dyDescent="0.25">
      <c r="E45" s="8">
        <f t="shared" si="19"/>
        <v>0.155</v>
      </c>
      <c r="F45" s="5" t="e">
        <f t="shared" si="20"/>
        <v>#REF!</v>
      </c>
    </row>
    <row r="46" spans="3:6" x14ac:dyDescent="0.25">
      <c r="E46" s="8">
        <f t="shared" si="19"/>
        <v>0.16500000000000001</v>
      </c>
      <c r="F46" s="5" t="e">
        <f t="shared" si="20"/>
        <v>#REF!</v>
      </c>
    </row>
    <row r="47" spans="3:6" x14ac:dyDescent="0.25">
      <c r="E47" s="8">
        <f t="shared" si="19"/>
        <v>0.17500000000000002</v>
      </c>
      <c r="F47" s="5" t="e">
        <f t="shared" si="20"/>
        <v>#REF!</v>
      </c>
    </row>
    <row r="48" spans="3:6" x14ac:dyDescent="0.25">
      <c r="E48" s="8">
        <f t="shared" si="19"/>
        <v>0.18500000000000003</v>
      </c>
      <c r="F48" s="5" t="e">
        <f t="shared" si="20"/>
        <v>#REF!</v>
      </c>
    </row>
    <row r="49" spans="5:6" x14ac:dyDescent="0.25">
      <c r="E49" s="8">
        <f t="shared" si="19"/>
        <v>0.19500000000000003</v>
      </c>
      <c r="F49" s="5" t="e">
        <f t="shared" si="20"/>
        <v>#REF!</v>
      </c>
    </row>
    <row r="50" spans="5:6" x14ac:dyDescent="0.25">
      <c r="E50" s="8">
        <f t="shared" si="19"/>
        <v>0.20500000000000004</v>
      </c>
      <c r="F50" s="5" t="e">
        <f t="shared" si="20"/>
        <v>#REF!</v>
      </c>
    </row>
    <row r="51" spans="5:6" x14ac:dyDescent="0.25">
      <c r="E51" s="8">
        <f t="shared" si="19"/>
        <v>0.21500000000000005</v>
      </c>
      <c r="F51" s="5" t="e">
        <f>+NPV(E51,$E$24:$AC$24)+$D$24</f>
        <v>#REF!</v>
      </c>
    </row>
    <row r="52" spans="5:6" x14ac:dyDescent="0.25">
      <c r="E52" s="8">
        <f t="shared" si="19"/>
        <v>0.22500000000000006</v>
      </c>
      <c r="F52" s="5" t="e">
        <f>+NPV(E52,$E$24:$AC$24)+$D$24</f>
        <v>#REF!</v>
      </c>
    </row>
    <row r="53" spans="5:6" x14ac:dyDescent="0.25">
      <c r="E53" s="8">
        <f t="shared" si="19"/>
        <v>0.23500000000000007</v>
      </c>
      <c r="F53" s="5" t="e">
        <f t="shared" ref="F53:F61" si="21">+NPV(E53,$E$24:$AC$24)+$D$24</f>
        <v>#REF!</v>
      </c>
    </row>
    <row r="54" spans="5:6" x14ac:dyDescent="0.25">
      <c r="E54" s="8">
        <f t="shared" si="19"/>
        <v>0.24500000000000008</v>
      </c>
      <c r="F54" s="5" t="e">
        <f t="shared" si="21"/>
        <v>#REF!</v>
      </c>
    </row>
    <row r="55" spans="5:6" x14ac:dyDescent="0.25">
      <c r="E55" s="8">
        <f t="shared" si="19"/>
        <v>0.25500000000000006</v>
      </c>
      <c r="F55" s="5" t="e">
        <f t="shared" si="21"/>
        <v>#REF!</v>
      </c>
    </row>
    <row r="56" spans="5:6" x14ac:dyDescent="0.25">
      <c r="E56" s="8">
        <f t="shared" si="19"/>
        <v>0.26500000000000007</v>
      </c>
      <c r="F56" s="5" t="e">
        <f t="shared" si="21"/>
        <v>#REF!</v>
      </c>
    </row>
    <row r="57" spans="5:6" x14ac:dyDescent="0.25">
      <c r="E57" s="8">
        <f t="shared" si="19"/>
        <v>0.27500000000000008</v>
      </c>
      <c r="F57" s="5" t="e">
        <f t="shared" si="21"/>
        <v>#REF!</v>
      </c>
    </row>
    <row r="58" spans="5:6" x14ac:dyDescent="0.25">
      <c r="E58" s="8">
        <f t="shared" si="19"/>
        <v>0.28500000000000009</v>
      </c>
      <c r="F58" s="5" t="e">
        <f t="shared" si="21"/>
        <v>#REF!</v>
      </c>
    </row>
    <row r="59" spans="5:6" x14ac:dyDescent="0.25">
      <c r="E59" s="8">
        <f t="shared" si="19"/>
        <v>0.2950000000000001</v>
      </c>
      <c r="F59" s="5" t="e">
        <f t="shared" si="21"/>
        <v>#REF!</v>
      </c>
    </row>
    <row r="60" spans="5:6" x14ac:dyDescent="0.25">
      <c r="E60" s="8">
        <f t="shared" si="19"/>
        <v>0.3050000000000001</v>
      </c>
      <c r="F60" s="5" t="e">
        <f t="shared" si="21"/>
        <v>#REF!</v>
      </c>
    </row>
    <row r="61" spans="5:6" x14ac:dyDescent="0.25">
      <c r="E61" s="8">
        <f t="shared" si="19"/>
        <v>0.31500000000000011</v>
      </c>
      <c r="F61" s="5" t="e">
        <f t="shared" si="21"/>
        <v>#REF!</v>
      </c>
    </row>
    <row r="62" spans="5:6" x14ac:dyDescent="0.25">
      <c r="E62" s="8">
        <f t="shared" si="19"/>
        <v>0.32500000000000012</v>
      </c>
      <c r="F62" s="5" t="e">
        <f>+NPV(E62,$E$24:$AC$24)+$D$24</f>
        <v>#REF!</v>
      </c>
    </row>
    <row r="63" spans="5:6" x14ac:dyDescent="0.25">
      <c r="E63" s="8">
        <f t="shared" si="19"/>
        <v>0.33500000000000013</v>
      </c>
      <c r="F63" s="5" t="e">
        <f>+NPV(E63,$E$24:$AC$24)+$D$24</f>
        <v>#REF!</v>
      </c>
    </row>
    <row r="64" spans="5:6" x14ac:dyDescent="0.25">
      <c r="E64" s="8">
        <f t="shared" si="19"/>
        <v>0.34500000000000014</v>
      </c>
      <c r="F64" s="5" t="e">
        <f t="shared" ref="F64:F70" si="22">+NPV(E64,$E$24:$AC$24)+$D$24</f>
        <v>#REF!</v>
      </c>
    </row>
    <row r="65" spans="5:6" x14ac:dyDescent="0.25">
      <c r="E65" s="8">
        <f t="shared" si="19"/>
        <v>0.35500000000000015</v>
      </c>
      <c r="F65" s="5" t="e">
        <f t="shared" si="22"/>
        <v>#REF!</v>
      </c>
    </row>
    <row r="66" spans="5:6" x14ac:dyDescent="0.25">
      <c r="E66" s="8">
        <f t="shared" si="19"/>
        <v>0.36500000000000016</v>
      </c>
      <c r="F66" s="5" t="e">
        <f t="shared" si="22"/>
        <v>#REF!</v>
      </c>
    </row>
    <row r="67" spans="5:6" x14ac:dyDescent="0.25">
      <c r="E67" s="8">
        <f t="shared" si="19"/>
        <v>0.37500000000000017</v>
      </c>
      <c r="F67" s="5" t="e">
        <f t="shared" si="22"/>
        <v>#REF!</v>
      </c>
    </row>
    <row r="68" spans="5:6" x14ac:dyDescent="0.25">
      <c r="E68" s="8">
        <f t="shared" si="19"/>
        <v>0.38500000000000018</v>
      </c>
      <c r="F68" s="5" t="e">
        <f t="shared" si="22"/>
        <v>#REF!</v>
      </c>
    </row>
    <row r="69" spans="5:6" x14ac:dyDescent="0.25">
      <c r="E69" s="8">
        <f t="shared" si="19"/>
        <v>0.39500000000000018</v>
      </c>
      <c r="F69" s="5" t="e">
        <f t="shared" si="22"/>
        <v>#REF!</v>
      </c>
    </row>
    <row r="70" spans="5:6" x14ac:dyDescent="0.25">
      <c r="E70" s="8">
        <f t="shared" si="19"/>
        <v>0.40500000000000019</v>
      </c>
      <c r="F70" s="5" t="e">
        <f t="shared" si="22"/>
        <v>#REF!</v>
      </c>
    </row>
    <row r="71" spans="5:6" x14ac:dyDescent="0.25">
      <c r="E71" s="8">
        <f t="shared" si="19"/>
        <v>0.4150000000000002</v>
      </c>
      <c r="F71" s="5" t="e">
        <f>+NPV(E71,$E$24:$AC$24)+$D$24</f>
        <v>#REF!</v>
      </c>
    </row>
    <row r="72" spans="5:6" x14ac:dyDescent="0.25">
      <c r="E72" s="8">
        <f t="shared" si="19"/>
        <v>0.42500000000000021</v>
      </c>
      <c r="F72" s="5" t="e">
        <f>+NPV(E72,$E$24:$AC$24)+$D$24</f>
        <v>#REF!</v>
      </c>
    </row>
    <row r="73" spans="5:6" x14ac:dyDescent="0.25">
      <c r="E73" s="8">
        <f t="shared" si="19"/>
        <v>0.43500000000000022</v>
      </c>
      <c r="F73" s="5" t="e">
        <f t="shared" ref="F73:F88" si="23">+NPV(E73,$E$24:$AC$24)+$D$24</f>
        <v>#REF!</v>
      </c>
    </row>
    <row r="74" spans="5:6" x14ac:dyDescent="0.25">
      <c r="E74" s="8">
        <f t="shared" si="19"/>
        <v>0.44500000000000023</v>
      </c>
      <c r="F74" s="5" t="e">
        <f t="shared" si="23"/>
        <v>#REF!</v>
      </c>
    </row>
    <row r="75" spans="5:6" x14ac:dyDescent="0.25">
      <c r="E75" s="8">
        <f t="shared" si="19"/>
        <v>0.45500000000000024</v>
      </c>
      <c r="F75" s="5" t="e">
        <f t="shared" si="23"/>
        <v>#REF!</v>
      </c>
    </row>
    <row r="76" spans="5:6" x14ac:dyDescent="0.25">
      <c r="E76" s="8">
        <f t="shared" si="19"/>
        <v>0.46500000000000025</v>
      </c>
      <c r="F76" s="5" t="e">
        <f t="shared" si="23"/>
        <v>#REF!</v>
      </c>
    </row>
    <row r="77" spans="5:6" x14ac:dyDescent="0.25">
      <c r="E77" s="8">
        <f t="shared" si="19"/>
        <v>0.47500000000000026</v>
      </c>
      <c r="F77" s="5" t="e">
        <f t="shared" si="23"/>
        <v>#REF!</v>
      </c>
    </row>
    <row r="78" spans="5:6" x14ac:dyDescent="0.25">
      <c r="E78" s="8">
        <f t="shared" si="19"/>
        <v>0.48500000000000026</v>
      </c>
      <c r="F78" s="5" t="e">
        <f t="shared" si="23"/>
        <v>#REF!</v>
      </c>
    </row>
    <row r="79" spans="5:6" x14ac:dyDescent="0.25">
      <c r="E79" s="8">
        <f t="shared" si="19"/>
        <v>0.49500000000000027</v>
      </c>
      <c r="F79" s="5" t="e">
        <f t="shared" si="23"/>
        <v>#REF!</v>
      </c>
    </row>
    <row r="80" spans="5:6" x14ac:dyDescent="0.25">
      <c r="E80" s="8">
        <f t="shared" si="19"/>
        <v>0.50500000000000023</v>
      </c>
      <c r="F80" s="5" t="e">
        <f t="shared" si="23"/>
        <v>#REF!</v>
      </c>
    </row>
    <row r="81" spans="5:6" x14ac:dyDescent="0.25">
      <c r="E81" s="8">
        <f t="shared" si="19"/>
        <v>0.51500000000000024</v>
      </c>
      <c r="F81" s="5" t="e">
        <f t="shared" si="23"/>
        <v>#REF!</v>
      </c>
    </row>
    <row r="82" spans="5:6" x14ac:dyDescent="0.25">
      <c r="E82" s="8">
        <f t="shared" si="19"/>
        <v>0.52500000000000024</v>
      </c>
      <c r="F82" s="5" t="e">
        <f t="shared" si="23"/>
        <v>#REF!</v>
      </c>
    </row>
    <row r="83" spans="5:6" x14ac:dyDescent="0.25">
      <c r="E83" s="8">
        <f t="shared" si="19"/>
        <v>0.53500000000000025</v>
      </c>
      <c r="F83" s="5" t="e">
        <f t="shared" si="23"/>
        <v>#REF!</v>
      </c>
    </row>
    <row r="84" spans="5:6" x14ac:dyDescent="0.25">
      <c r="E84" s="8">
        <f t="shared" si="19"/>
        <v>0.54500000000000026</v>
      </c>
      <c r="F84" s="5" t="e">
        <f t="shared" si="23"/>
        <v>#REF!</v>
      </c>
    </row>
    <row r="85" spans="5:6" x14ac:dyDescent="0.25">
      <c r="E85" s="8">
        <f t="shared" si="19"/>
        <v>0.55500000000000027</v>
      </c>
      <c r="F85" s="5" t="e">
        <f t="shared" si="23"/>
        <v>#REF!</v>
      </c>
    </row>
    <row r="86" spans="5:6" x14ac:dyDescent="0.25">
      <c r="E86" s="8">
        <f t="shared" si="19"/>
        <v>0.56500000000000028</v>
      </c>
      <c r="F86" s="5" t="e">
        <f>+NPV(E86,$E$24:$AC$24)+$D$24</f>
        <v>#REF!</v>
      </c>
    </row>
    <row r="87" spans="5:6" x14ac:dyDescent="0.25">
      <c r="E87" s="8">
        <f t="shared" si="19"/>
        <v>0.57500000000000029</v>
      </c>
      <c r="F87" s="5" t="e">
        <f t="shared" si="23"/>
        <v>#REF!</v>
      </c>
    </row>
    <row r="88" spans="5:6" x14ac:dyDescent="0.25">
      <c r="E88" s="8">
        <f t="shared" si="19"/>
        <v>0.5850000000000003</v>
      </c>
      <c r="F88" s="5" t="e">
        <f t="shared" si="23"/>
        <v>#REF!</v>
      </c>
    </row>
  </sheetData>
  <mergeCells count="7">
    <mergeCell ref="B25:C25"/>
    <mergeCell ref="B3:B7"/>
    <mergeCell ref="B10:B16"/>
    <mergeCell ref="B17:B21"/>
    <mergeCell ref="B22:C22"/>
    <mergeCell ref="B23:C23"/>
    <mergeCell ref="B24:C2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2A8DA-D107-4100-B928-76AEF6D22782}">
  <dimension ref="B1:AC88"/>
  <sheetViews>
    <sheetView showGridLines="0" workbookViewId="0">
      <selection activeCell="E3" sqref="E3"/>
    </sheetView>
  </sheetViews>
  <sheetFormatPr baseColWidth="10" defaultColWidth="11.42578125" defaultRowHeight="15" x14ac:dyDescent="0.25"/>
  <cols>
    <col min="1" max="1" width="5.28515625" customWidth="1"/>
    <col min="3" max="3" width="31.140625" bestFit="1" customWidth="1"/>
    <col min="4" max="4" width="17.7109375" bestFit="1" customWidth="1"/>
    <col min="5" max="6" width="12.28515625" bestFit="1" customWidth="1"/>
    <col min="7" max="7" width="19.28515625" bestFit="1" customWidth="1"/>
    <col min="8" max="8" width="12.28515625" bestFit="1" customWidth="1"/>
    <col min="9" max="9" width="14.7109375" bestFit="1" customWidth="1"/>
    <col min="10" max="12" width="12.28515625" bestFit="1" customWidth="1"/>
    <col min="13" max="13" width="18.5703125" customWidth="1"/>
    <col min="14" max="14" width="15.140625" bestFit="1" customWidth="1"/>
  </cols>
  <sheetData>
    <row r="1" spans="2:29" x14ac:dyDescent="0.25">
      <c r="D1" s="12"/>
    </row>
    <row r="2" spans="2:29" x14ac:dyDescent="0.25">
      <c r="B2" s="80"/>
      <c r="C2" s="80" t="s">
        <v>126</v>
      </c>
      <c r="D2" s="80">
        <v>0</v>
      </c>
      <c r="E2" s="80">
        <v>1</v>
      </c>
      <c r="F2" s="80">
        <v>2</v>
      </c>
      <c r="G2" s="80">
        <v>3</v>
      </c>
      <c r="H2" s="80">
        <v>4</v>
      </c>
      <c r="I2" s="80">
        <v>5</v>
      </c>
      <c r="J2" s="80">
        <v>6</v>
      </c>
      <c r="K2" s="80">
        <v>7</v>
      </c>
      <c r="L2" s="80">
        <v>8</v>
      </c>
      <c r="M2" s="80">
        <v>9</v>
      </c>
      <c r="N2" s="80">
        <v>10</v>
      </c>
      <c r="O2" s="80">
        <v>11</v>
      </c>
      <c r="P2" s="80">
        <v>12</v>
      </c>
      <c r="Q2" s="80">
        <v>13</v>
      </c>
      <c r="R2" s="80">
        <v>14</v>
      </c>
      <c r="S2" s="80">
        <v>15</v>
      </c>
      <c r="T2" s="80">
        <v>16</v>
      </c>
      <c r="U2" s="80">
        <v>17</v>
      </c>
      <c r="V2" s="80">
        <v>18</v>
      </c>
      <c r="W2" s="80">
        <v>19</v>
      </c>
      <c r="X2" s="80">
        <v>20</v>
      </c>
      <c r="Y2" s="80">
        <v>21</v>
      </c>
      <c r="Z2" s="80">
        <v>22</v>
      </c>
      <c r="AA2" s="80">
        <v>23</v>
      </c>
      <c r="AB2" s="80">
        <v>24</v>
      </c>
      <c r="AC2" s="80">
        <v>25</v>
      </c>
    </row>
    <row r="3" spans="2:29" x14ac:dyDescent="0.25">
      <c r="B3" s="201" t="s">
        <v>127</v>
      </c>
      <c r="C3" s="40" t="s">
        <v>165</v>
      </c>
      <c r="D3" s="40">
        <v>0</v>
      </c>
      <c r="E3" s="42">
        <f>+Capacidad!C8*365</f>
        <v>235425</v>
      </c>
      <c r="F3" s="42">
        <f>+E3</f>
        <v>235425</v>
      </c>
      <c r="G3" s="42">
        <f t="shared" ref="G3:AC3" si="0">+F3</f>
        <v>235425</v>
      </c>
      <c r="H3" s="42">
        <f t="shared" si="0"/>
        <v>235425</v>
      </c>
      <c r="I3" s="42">
        <f t="shared" si="0"/>
        <v>235425</v>
      </c>
      <c r="J3" s="42">
        <f t="shared" si="0"/>
        <v>235425</v>
      </c>
      <c r="K3" s="42">
        <f t="shared" si="0"/>
        <v>235425</v>
      </c>
      <c r="L3" s="42">
        <f t="shared" si="0"/>
        <v>235425</v>
      </c>
      <c r="M3" s="42">
        <f t="shared" si="0"/>
        <v>235425</v>
      </c>
      <c r="N3" s="42">
        <f t="shared" si="0"/>
        <v>235425</v>
      </c>
      <c r="O3" s="42">
        <f t="shared" si="0"/>
        <v>235425</v>
      </c>
      <c r="P3" s="42">
        <f t="shared" si="0"/>
        <v>235425</v>
      </c>
      <c r="Q3" s="42">
        <f t="shared" si="0"/>
        <v>235425</v>
      </c>
      <c r="R3" s="42">
        <f t="shared" si="0"/>
        <v>235425</v>
      </c>
      <c r="S3" s="42">
        <f t="shared" si="0"/>
        <v>235425</v>
      </c>
      <c r="T3" s="42">
        <f t="shared" si="0"/>
        <v>235425</v>
      </c>
      <c r="U3" s="42">
        <f t="shared" si="0"/>
        <v>235425</v>
      </c>
      <c r="V3" s="42">
        <f t="shared" si="0"/>
        <v>235425</v>
      </c>
      <c r="W3" s="42">
        <f t="shared" si="0"/>
        <v>235425</v>
      </c>
      <c r="X3" s="42">
        <f t="shared" si="0"/>
        <v>235425</v>
      </c>
      <c r="Y3" s="42">
        <f t="shared" si="0"/>
        <v>235425</v>
      </c>
      <c r="Z3" s="42">
        <f t="shared" si="0"/>
        <v>235425</v>
      </c>
      <c r="AA3" s="42">
        <f t="shared" si="0"/>
        <v>235425</v>
      </c>
      <c r="AB3" s="42">
        <f t="shared" si="0"/>
        <v>235425</v>
      </c>
      <c r="AC3" s="42">
        <f t="shared" si="0"/>
        <v>235425</v>
      </c>
    </row>
    <row r="4" spans="2:29" x14ac:dyDescent="0.25">
      <c r="B4" s="201"/>
      <c r="C4" s="40" t="s">
        <v>129</v>
      </c>
      <c r="D4" s="43">
        <f>+LCOH!O38</f>
        <v>9.6320478523290287</v>
      </c>
      <c r="E4" s="43">
        <f>+D4*1.05</f>
        <v>10.113650244945481</v>
      </c>
      <c r="F4" s="43">
        <f t="shared" ref="F4:AC4" si="1">+E4*1.05</f>
        <v>10.619332757192755</v>
      </c>
      <c r="G4" s="43">
        <f t="shared" si="1"/>
        <v>11.150299395052393</v>
      </c>
      <c r="H4" s="43">
        <f t="shared" si="1"/>
        <v>11.707814364805014</v>
      </c>
      <c r="I4" s="43">
        <f t="shared" si="1"/>
        <v>12.293205083045265</v>
      </c>
      <c r="J4" s="43">
        <f t="shared" si="1"/>
        <v>12.90786533719753</v>
      </c>
      <c r="K4" s="43">
        <f t="shared" si="1"/>
        <v>13.553258604057406</v>
      </c>
      <c r="L4" s="43">
        <f t="shared" si="1"/>
        <v>14.230921534260277</v>
      </c>
      <c r="M4" s="43">
        <f t="shared" si="1"/>
        <v>14.942467610973292</v>
      </c>
      <c r="N4" s="43">
        <f t="shared" si="1"/>
        <v>15.689590991521957</v>
      </c>
      <c r="O4" s="43">
        <f t="shared" si="1"/>
        <v>16.474070541098055</v>
      </c>
      <c r="P4" s="43">
        <f t="shared" si="1"/>
        <v>17.297774068152957</v>
      </c>
      <c r="Q4" s="43">
        <f t="shared" si="1"/>
        <v>18.162662771560605</v>
      </c>
      <c r="R4" s="43">
        <f t="shared" si="1"/>
        <v>19.070795910138635</v>
      </c>
      <c r="S4" s="43">
        <f t="shared" si="1"/>
        <v>20.024335705645569</v>
      </c>
      <c r="T4" s="43">
        <f t="shared" si="1"/>
        <v>21.025552490927847</v>
      </c>
      <c r="U4" s="43">
        <f t="shared" si="1"/>
        <v>22.076830115474241</v>
      </c>
      <c r="V4" s="43">
        <f t="shared" si="1"/>
        <v>23.180671621247953</v>
      </c>
      <c r="W4" s="43">
        <f t="shared" si="1"/>
        <v>24.339705202310352</v>
      </c>
      <c r="X4" s="43">
        <f t="shared" si="1"/>
        <v>25.55669046242587</v>
      </c>
      <c r="Y4" s="43">
        <f t="shared" si="1"/>
        <v>26.834524985547166</v>
      </c>
      <c r="Z4" s="43">
        <f t="shared" si="1"/>
        <v>28.176251234824527</v>
      </c>
      <c r="AA4" s="43">
        <f t="shared" si="1"/>
        <v>29.585063796565755</v>
      </c>
      <c r="AB4" s="43">
        <f t="shared" si="1"/>
        <v>31.064316986394044</v>
      </c>
      <c r="AC4" s="43">
        <f t="shared" si="1"/>
        <v>32.617532835713746</v>
      </c>
    </row>
    <row r="5" spans="2:29" x14ac:dyDescent="0.25">
      <c r="B5" s="201"/>
      <c r="C5" s="40" t="s">
        <v>159</v>
      </c>
      <c r="D5" s="44">
        <f>+D4*D3</f>
        <v>0</v>
      </c>
      <c r="E5" s="44">
        <f>+E4*E3</f>
        <v>2381006.1089162896</v>
      </c>
      <c r="F5" s="44">
        <f>+F4*F3</f>
        <v>2500056.4143621041</v>
      </c>
      <c r="G5" s="44">
        <f t="shared" ref="G5:M5" si="2">+G4*G3</f>
        <v>2625059.2350802096</v>
      </c>
      <c r="H5" s="44">
        <f t="shared" si="2"/>
        <v>2756312.1968342206</v>
      </c>
      <c r="I5" s="44">
        <f t="shared" si="2"/>
        <v>2894127.8066759314</v>
      </c>
      <c r="J5" s="44">
        <f t="shared" si="2"/>
        <v>3038834.1970097283</v>
      </c>
      <c r="K5" s="44">
        <f t="shared" si="2"/>
        <v>3190775.9068602147</v>
      </c>
      <c r="L5" s="44">
        <f t="shared" si="2"/>
        <v>3350314.7022032258</v>
      </c>
      <c r="M5" s="44">
        <f t="shared" si="2"/>
        <v>3517830.4373133872</v>
      </c>
      <c r="N5" s="44">
        <f>+N4*N3</f>
        <v>3693721.9591790568</v>
      </c>
      <c r="O5" s="44">
        <f t="shared" ref="O5:AC5" si="3">+O4*O3</f>
        <v>3878408.0571380095</v>
      </c>
      <c r="P5" s="44">
        <f t="shared" si="3"/>
        <v>4072328.4599949098</v>
      </c>
      <c r="Q5" s="44">
        <f t="shared" si="3"/>
        <v>4275944.8829946555</v>
      </c>
      <c r="R5" s="44">
        <f t="shared" si="3"/>
        <v>4489742.1271443879</v>
      </c>
      <c r="S5" s="44">
        <f t="shared" si="3"/>
        <v>4714229.2335016085</v>
      </c>
      <c r="T5" s="44">
        <f t="shared" si="3"/>
        <v>4949940.695176688</v>
      </c>
      <c r="U5" s="44">
        <f t="shared" si="3"/>
        <v>5197437.7299355231</v>
      </c>
      <c r="V5" s="44">
        <f t="shared" si="3"/>
        <v>5457309.6164322989</v>
      </c>
      <c r="W5" s="44">
        <f t="shared" si="3"/>
        <v>5730175.0972539149</v>
      </c>
      <c r="X5" s="44">
        <f t="shared" si="3"/>
        <v>6016683.8521166099</v>
      </c>
      <c r="Y5" s="44">
        <f t="shared" si="3"/>
        <v>6317518.0447224416</v>
      </c>
      <c r="Z5" s="44">
        <f t="shared" si="3"/>
        <v>6633393.9469585642</v>
      </c>
      <c r="AA5" s="44">
        <f t="shared" si="3"/>
        <v>6965063.644306493</v>
      </c>
      <c r="AB5" s="44">
        <f t="shared" si="3"/>
        <v>7313316.8265218176</v>
      </c>
      <c r="AC5" s="44">
        <f t="shared" si="3"/>
        <v>7678982.667847909</v>
      </c>
    </row>
    <row r="6" spans="2:29" hidden="1" x14ac:dyDescent="0.25">
      <c r="B6" s="201"/>
      <c r="C6" s="40" t="s">
        <v>131</v>
      </c>
      <c r="D6" s="44">
        <v>0</v>
      </c>
      <c r="E6" s="44">
        <v>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44">
        <v>0</v>
      </c>
      <c r="V6" s="44">
        <v>0</v>
      </c>
      <c r="W6" s="44">
        <v>0</v>
      </c>
      <c r="X6" s="44">
        <v>0</v>
      </c>
      <c r="Y6" s="44">
        <v>0</v>
      </c>
      <c r="Z6" s="44">
        <v>0</v>
      </c>
      <c r="AA6" s="44">
        <v>0</v>
      </c>
      <c r="AB6" s="44">
        <v>0</v>
      </c>
      <c r="AC6" s="44">
        <v>0</v>
      </c>
    </row>
    <row r="7" spans="2:29" x14ac:dyDescent="0.25">
      <c r="B7" s="201"/>
      <c r="C7" s="45" t="s">
        <v>105</v>
      </c>
      <c r="D7" s="46">
        <f>+SUM(D5:D6)</f>
        <v>0</v>
      </c>
      <c r="E7" s="46">
        <f>+SUM(E5:E6)</f>
        <v>2381006.1089162896</v>
      </c>
      <c r="F7" s="46">
        <f>+SUM(F5:F6)</f>
        <v>2500056.4143621041</v>
      </c>
      <c r="G7" s="46">
        <f t="shared" ref="G7:AC7" si="4">+SUM(G5:G6)</f>
        <v>2625059.2350802096</v>
      </c>
      <c r="H7" s="46">
        <f t="shared" si="4"/>
        <v>2756312.1968342206</v>
      </c>
      <c r="I7" s="46">
        <f t="shared" si="4"/>
        <v>2894127.8066759314</v>
      </c>
      <c r="J7" s="46">
        <f t="shared" si="4"/>
        <v>3038834.1970097283</v>
      </c>
      <c r="K7" s="46">
        <f t="shared" si="4"/>
        <v>3190775.9068602147</v>
      </c>
      <c r="L7" s="46">
        <f t="shared" si="4"/>
        <v>3350314.7022032258</v>
      </c>
      <c r="M7" s="46">
        <f t="shared" si="4"/>
        <v>3517830.4373133872</v>
      </c>
      <c r="N7" s="46">
        <f t="shared" si="4"/>
        <v>3693721.9591790568</v>
      </c>
      <c r="O7" s="46">
        <f t="shared" si="4"/>
        <v>3878408.0571380095</v>
      </c>
      <c r="P7" s="46">
        <f t="shared" si="4"/>
        <v>4072328.4599949098</v>
      </c>
      <c r="Q7" s="46">
        <f t="shared" si="4"/>
        <v>4275944.8829946555</v>
      </c>
      <c r="R7" s="46">
        <f t="shared" si="4"/>
        <v>4489742.1271443879</v>
      </c>
      <c r="S7" s="46">
        <f t="shared" si="4"/>
        <v>4714229.2335016085</v>
      </c>
      <c r="T7" s="46">
        <f t="shared" si="4"/>
        <v>4949940.695176688</v>
      </c>
      <c r="U7" s="46">
        <f t="shared" si="4"/>
        <v>5197437.7299355231</v>
      </c>
      <c r="V7" s="46">
        <f t="shared" si="4"/>
        <v>5457309.6164322989</v>
      </c>
      <c r="W7" s="46">
        <f t="shared" si="4"/>
        <v>5730175.0972539149</v>
      </c>
      <c r="X7" s="46">
        <f t="shared" si="4"/>
        <v>6016683.8521166099</v>
      </c>
      <c r="Y7" s="46">
        <f t="shared" si="4"/>
        <v>6317518.0447224416</v>
      </c>
      <c r="Z7" s="46">
        <f t="shared" si="4"/>
        <v>6633393.9469585642</v>
      </c>
      <c r="AA7" s="46">
        <f t="shared" si="4"/>
        <v>6965063.644306493</v>
      </c>
      <c r="AB7" s="46">
        <f t="shared" si="4"/>
        <v>7313316.8265218176</v>
      </c>
      <c r="AC7" s="46">
        <f t="shared" si="4"/>
        <v>7678982.667847909</v>
      </c>
    </row>
    <row r="8" spans="2:29" x14ac:dyDescent="0.25">
      <c r="B8" s="41"/>
      <c r="C8" s="45"/>
      <c r="D8" s="46">
        <f>+'DATOS '!F81*-1</f>
        <v>-5914526.4080000008</v>
      </c>
      <c r="E8" s="46">
        <f>+E7</f>
        <v>2381006.1089162896</v>
      </c>
      <c r="F8" s="46">
        <f t="shared" ref="F8:AC8" si="5">+F7</f>
        <v>2500056.4143621041</v>
      </c>
      <c r="G8" s="46">
        <f t="shared" si="5"/>
        <v>2625059.2350802096</v>
      </c>
      <c r="H8" s="46">
        <f t="shared" si="5"/>
        <v>2756312.1968342206</v>
      </c>
      <c r="I8" s="46">
        <f t="shared" si="5"/>
        <v>2894127.8066759314</v>
      </c>
      <c r="J8" s="46">
        <f t="shared" si="5"/>
        <v>3038834.1970097283</v>
      </c>
      <c r="K8" s="46">
        <f t="shared" si="5"/>
        <v>3190775.9068602147</v>
      </c>
      <c r="L8" s="46">
        <f t="shared" si="5"/>
        <v>3350314.7022032258</v>
      </c>
      <c r="M8" s="46">
        <f t="shared" si="5"/>
        <v>3517830.4373133872</v>
      </c>
      <c r="N8" s="46">
        <f t="shared" si="5"/>
        <v>3693721.9591790568</v>
      </c>
      <c r="O8" s="46">
        <f t="shared" si="5"/>
        <v>3878408.0571380095</v>
      </c>
      <c r="P8" s="46">
        <f t="shared" si="5"/>
        <v>4072328.4599949098</v>
      </c>
      <c r="Q8" s="46">
        <f t="shared" si="5"/>
        <v>4275944.8829946555</v>
      </c>
      <c r="R8" s="46">
        <f t="shared" si="5"/>
        <v>4489742.1271443879</v>
      </c>
      <c r="S8" s="46">
        <f t="shared" si="5"/>
        <v>4714229.2335016085</v>
      </c>
      <c r="T8" s="46">
        <f t="shared" si="5"/>
        <v>4949940.695176688</v>
      </c>
      <c r="U8" s="46">
        <f t="shared" si="5"/>
        <v>5197437.7299355231</v>
      </c>
      <c r="V8" s="46">
        <f t="shared" si="5"/>
        <v>5457309.6164322989</v>
      </c>
      <c r="W8" s="46">
        <f t="shared" si="5"/>
        <v>5730175.0972539149</v>
      </c>
      <c r="X8" s="46">
        <f t="shared" si="5"/>
        <v>6016683.8521166099</v>
      </c>
      <c r="Y8" s="46">
        <f t="shared" si="5"/>
        <v>6317518.0447224416</v>
      </c>
      <c r="Z8" s="46">
        <f t="shared" si="5"/>
        <v>6633393.9469585642</v>
      </c>
      <c r="AA8" s="46">
        <f t="shared" si="5"/>
        <v>6965063.644306493</v>
      </c>
      <c r="AB8" s="46">
        <f t="shared" si="5"/>
        <v>7313316.8265218176</v>
      </c>
      <c r="AC8" s="46">
        <f t="shared" si="5"/>
        <v>7678982.667847909</v>
      </c>
    </row>
    <row r="9" spans="2:29" x14ac:dyDescent="0.25">
      <c r="C9" t="s">
        <v>160</v>
      </c>
      <c r="D9" s="39">
        <f>+D8*-1</f>
        <v>5914526.4080000008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29" hidden="1" x14ac:dyDescent="0.25">
      <c r="B10" s="200" t="s">
        <v>132</v>
      </c>
      <c r="C10" s="47" t="s">
        <v>166</v>
      </c>
      <c r="D10" s="48">
        <v>0</v>
      </c>
      <c r="E10" s="48">
        <f>$G$11*0.07</f>
        <v>0</v>
      </c>
      <c r="F10" s="48">
        <f>$G$11*0.07</f>
        <v>0</v>
      </c>
      <c r="G10" s="48">
        <f t="shared" ref="G10:AC10" si="6">$G$11*0.07</f>
        <v>0</v>
      </c>
      <c r="H10" s="48">
        <f t="shared" si="6"/>
        <v>0</v>
      </c>
      <c r="I10" s="48">
        <f t="shared" si="6"/>
        <v>0</v>
      </c>
      <c r="J10" s="48">
        <f t="shared" si="6"/>
        <v>0</v>
      </c>
      <c r="K10" s="48">
        <f t="shared" si="6"/>
        <v>0</v>
      </c>
      <c r="L10" s="48">
        <f t="shared" si="6"/>
        <v>0</v>
      </c>
      <c r="M10" s="48">
        <f t="shared" si="6"/>
        <v>0</v>
      </c>
      <c r="N10" s="48">
        <f t="shared" si="6"/>
        <v>0</v>
      </c>
      <c r="O10" s="48">
        <f t="shared" si="6"/>
        <v>0</v>
      </c>
      <c r="P10" s="48">
        <f t="shared" si="6"/>
        <v>0</v>
      </c>
      <c r="Q10" s="48">
        <f t="shared" si="6"/>
        <v>0</v>
      </c>
      <c r="R10" s="48">
        <f t="shared" si="6"/>
        <v>0</v>
      </c>
      <c r="S10" s="48">
        <f t="shared" si="6"/>
        <v>0</v>
      </c>
      <c r="T10" s="48">
        <f t="shared" si="6"/>
        <v>0</v>
      </c>
      <c r="U10" s="48">
        <f t="shared" si="6"/>
        <v>0</v>
      </c>
      <c r="V10" s="48">
        <f t="shared" si="6"/>
        <v>0</v>
      </c>
      <c r="W10" s="48">
        <f t="shared" si="6"/>
        <v>0</v>
      </c>
      <c r="X10" s="48">
        <f t="shared" si="6"/>
        <v>0</v>
      </c>
      <c r="Y10" s="48">
        <f t="shared" si="6"/>
        <v>0</v>
      </c>
      <c r="Z10" s="48">
        <f t="shared" si="6"/>
        <v>0</v>
      </c>
      <c r="AA10" s="48">
        <f t="shared" si="6"/>
        <v>0</v>
      </c>
      <c r="AB10" s="48">
        <f t="shared" si="6"/>
        <v>0</v>
      </c>
      <c r="AC10" s="48">
        <f t="shared" si="6"/>
        <v>0</v>
      </c>
    </row>
    <row r="11" spans="2:29" hidden="1" x14ac:dyDescent="0.25">
      <c r="B11" s="200"/>
      <c r="C11" s="47" t="s">
        <v>167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</row>
    <row r="12" spans="2:29" x14ac:dyDescent="0.25">
      <c r="B12" s="200"/>
      <c r="C12" s="47" t="s">
        <v>161</v>
      </c>
      <c r="D12" s="48">
        <f>+'DATOS '!F77</f>
        <v>264041.35750000004</v>
      </c>
      <c r="E12" s="48">
        <f>+D12*1.03</f>
        <v>271962.59822500002</v>
      </c>
      <c r="F12" s="48">
        <f>+E12*1.03</f>
        <v>280121.47617175005</v>
      </c>
      <c r="G12" s="48">
        <f>+F12*1.03</f>
        <v>288525.12045690254</v>
      </c>
      <c r="H12" s="48">
        <f t="shared" ref="H12:N13" si="7">+G12*1.03</f>
        <v>297180.87407060963</v>
      </c>
      <c r="I12" s="48">
        <f t="shared" si="7"/>
        <v>306096.30029272794</v>
      </c>
      <c r="J12" s="48">
        <f t="shared" si="7"/>
        <v>315279.18930150982</v>
      </c>
      <c r="K12" s="48">
        <f t="shared" si="7"/>
        <v>324737.56498055509</v>
      </c>
      <c r="L12" s="48">
        <f t="shared" si="7"/>
        <v>334479.69192997174</v>
      </c>
      <c r="M12" s="48">
        <f t="shared" si="7"/>
        <v>344514.08268787089</v>
      </c>
      <c r="N12" s="48">
        <f>+M12*1.03</f>
        <v>354849.50516850705</v>
      </c>
      <c r="O12" s="48">
        <f t="shared" ref="O12:AC13" si="8">+N12*1.03</f>
        <v>365494.99032356229</v>
      </c>
      <c r="P12" s="48">
        <f t="shared" si="8"/>
        <v>376459.8400332692</v>
      </c>
      <c r="Q12" s="48">
        <f t="shared" si="8"/>
        <v>387753.63523426728</v>
      </c>
      <c r="R12" s="48">
        <f t="shared" si="8"/>
        <v>399386.2442912953</v>
      </c>
      <c r="S12" s="48">
        <f t="shared" si="8"/>
        <v>411367.83162003418</v>
      </c>
      <c r="T12" s="48">
        <f t="shared" si="8"/>
        <v>423708.86656863522</v>
      </c>
      <c r="U12" s="48">
        <f t="shared" si="8"/>
        <v>436420.13256569428</v>
      </c>
      <c r="V12" s="48">
        <f t="shared" si="8"/>
        <v>449512.73654266511</v>
      </c>
      <c r="W12" s="48">
        <f t="shared" si="8"/>
        <v>462998.11863894504</v>
      </c>
      <c r="X12" s="48">
        <f t="shared" si="8"/>
        <v>476888.06219811342</v>
      </c>
      <c r="Y12" s="48">
        <f t="shared" si="8"/>
        <v>491194.70406405686</v>
      </c>
      <c r="Z12" s="48">
        <f t="shared" si="8"/>
        <v>505930.54518597858</v>
      </c>
      <c r="AA12" s="48">
        <f t="shared" si="8"/>
        <v>521108.46154155798</v>
      </c>
      <c r="AB12" s="48">
        <f t="shared" si="8"/>
        <v>536741.71538780478</v>
      </c>
      <c r="AC12" s="48">
        <f t="shared" si="8"/>
        <v>552843.96684943896</v>
      </c>
    </row>
    <row r="13" spans="2:29" x14ac:dyDescent="0.25">
      <c r="B13" s="200"/>
      <c r="C13" s="47" t="s">
        <v>162</v>
      </c>
      <c r="D13" s="48"/>
      <c r="E13" s="48">
        <f>+'DATOS '!F78+'DATOS '!F79</f>
        <v>369657.90050000005</v>
      </c>
      <c r="F13" s="48">
        <f>+E13*1.03</f>
        <v>380747.63751500007</v>
      </c>
      <c r="G13" s="48">
        <f t="shared" ref="G13" si="9">+F13*1.03</f>
        <v>392170.0666404501</v>
      </c>
      <c r="H13" s="48">
        <f t="shared" si="7"/>
        <v>403935.16863966361</v>
      </c>
      <c r="I13" s="48">
        <f t="shared" si="7"/>
        <v>416053.22369885352</v>
      </c>
      <c r="J13" s="48">
        <f t="shared" si="7"/>
        <v>428534.82040981913</v>
      </c>
      <c r="K13" s="48">
        <f t="shared" si="7"/>
        <v>441390.86502211372</v>
      </c>
      <c r="L13" s="48">
        <f t="shared" si="7"/>
        <v>454632.59097277717</v>
      </c>
      <c r="M13" s="48">
        <f t="shared" si="7"/>
        <v>468271.5687019605</v>
      </c>
      <c r="N13" s="48">
        <f t="shared" si="7"/>
        <v>482319.71576301934</v>
      </c>
      <c r="O13" s="48">
        <f t="shared" si="8"/>
        <v>496789.30723590992</v>
      </c>
      <c r="P13" s="48">
        <f t="shared" si="8"/>
        <v>511692.98645298724</v>
      </c>
      <c r="Q13" s="48">
        <f t="shared" si="8"/>
        <v>527043.77604657691</v>
      </c>
      <c r="R13" s="48">
        <f t="shared" si="8"/>
        <v>542855.08932797424</v>
      </c>
      <c r="S13" s="48">
        <f t="shared" si="8"/>
        <v>559140.74200781353</v>
      </c>
      <c r="T13" s="48">
        <f t="shared" si="8"/>
        <v>575914.96426804794</v>
      </c>
      <c r="U13" s="48">
        <f t="shared" si="8"/>
        <v>593192.41319608944</v>
      </c>
      <c r="V13" s="48">
        <f t="shared" si="8"/>
        <v>610988.1855919722</v>
      </c>
      <c r="W13" s="48">
        <f t="shared" si="8"/>
        <v>629317.83115973137</v>
      </c>
      <c r="X13" s="48">
        <f t="shared" si="8"/>
        <v>648197.36609452334</v>
      </c>
      <c r="Y13" s="48">
        <f t="shared" si="8"/>
        <v>667643.28707735904</v>
      </c>
      <c r="Z13" s="48">
        <f t="shared" si="8"/>
        <v>687672.58568967984</v>
      </c>
      <c r="AA13" s="48">
        <f t="shared" si="8"/>
        <v>708302.76326037024</v>
      </c>
      <c r="AB13" s="48">
        <f t="shared" si="8"/>
        <v>729551.84615818132</v>
      </c>
      <c r="AC13" s="48">
        <f t="shared" si="8"/>
        <v>751438.40154292679</v>
      </c>
    </row>
    <row r="14" spans="2:29" hidden="1" x14ac:dyDescent="0.25">
      <c r="B14" s="200"/>
      <c r="C14" s="47" t="s">
        <v>137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</row>
    <row r="15" spans="2:29" hidden="1" x14ac:dyDescent="0.25">
      <c r="B15" s="200"/>
      <c r="C15" s="47" t="s">
        <v>138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</row>
    <row r="16" spans="2:29" x14ac:dyDescent="0.25">
      <c r="B16" s="200"/>
      <c r="C16" s="49" t="s">
        <v>105</v>
      </c>
      <c r="D16" s="50">
        <f>+SUM(D9:D15)</f>
        <v>6178567.7655000007</v>
      </c>
      <c r="E16" s="50">
        <f>+SUM(E12:E15)</f>
        <v>641620.49872500007</v>
      </c>
      <c r="F16" s="50">
        <f>+SUM(F12:F15)</f>
        <v>660869.11368675018</v>
      </c>
      <c r="G16" s="50">
        <f t="shared" ref="G16:AC16" si="10">+SUM(G12:G15)</f>
        <v>680695.1870973527</v>
      </c>
      <c r="H16" s="50">
        <f t="shared" si="10"/>
        <v>701116.04271027329</v>
      </c>
      <c r="I16" s="50">
        <f t="shared" si="10"/>
        <v>722149.52399158152</v>
      </c>
      <c r="J16" s="50">
        <f t="shared" si="10"/>
        <v>743814.00971132889</v>
      </c>
      <c r="K16" s="50">
        <f t="shared" si="10"/>
        <v>766128.43000266887</v>
      </c>
      <c r="L16" s="50">
        <f t="shared" si="10"/>
        <v>789112.28290274891</v>
      </c>
      <c r="M16" s="50">
        <f t="shared" si="10"/>
        <v>812785.65138983144</v>
      </c>
      <c r="N16" s="50">
        <f t="shared" si="10"/>
        <v>837169.22093152639</v>
      </c>
      <c r="O16" s="50">
        <f t="shared" si="10"/>
        <v>862284.29755947227</v>
      </c>
      <c r="P16" s="50">
        <f t="shared" si="10"/>
        <v>888152.82648625644</v>
      </c>
      <c r="Q16" s="50">
        <f t="shared" si="10"/>
        <v>914797.41128084413</v>
      </c>
      <c r="R16" s="50">
        <f t="shared" si="10"/>
        <v>942241.33361926954</v>
      </c>
      <c r="S16" s="50">
        <f t="shared" si="10"/>
        <v>970508.57362784771</v>
      </c>
      <c r="T16" s="50">
        <f t="shared" si="10"/>
        <v>999623.83083668316</v>
      </c>
      <c r="U16" s="50">
        <f t="shared" si="10"/>
        <v>1029612.5457617837</v>
      </c>
      <c r="V16" s="50">
        <f t="shared" si="10"/>
        <v>1060500.9221346374</v>
      </c>
      <c r="W16" s="50">
        <f t="shared" si="10"/>
        <v>1092315.9497986764</v>
      </c>
      <c r="X16" s="50">
        <f t="shared" si="10"/>
        <v>1125085.4282926368</v>
      </c>
      <c r="Y16" s="50">
        <f t="shared" si="10"/>
        <v>1158837.9911414159</v>
      </c>
      <c r="Z16" s="50">
        <f t="shared" si="10"/>
        <v>1193603.1308756585</v>
      </c>
      <c r="AA16" s="50">
        <f t="shared" si="10"/>
        <v>1229411.2248019283</v>
      </c>
      <c r="AB16" s="50">
        <f t="shared" si="10"/>
        <v>1266293.5615459862</v>
      </c>
      <c r="AC16" s="50">
        <f t="shared" si="10"/>
        <v>1304282.3683923658</v>
      </c>
    </row>
    <row r="17" spans="2:29" x14ac:dyDescent="0.25">
      <c r="B17" s="197" t="s">
        <v>139</v>
      </c>
      <c r="C17" s="51" t="s">
        <v>140</v>
      </c>
      <c r="D17" s="52">
        <f>+'DATOS '!$K$28</f>
        <v>1695633.5</v>
      </c>
      <c r="E17" s="52">
        <f>+'DATOS '!$K$28</f>
        <v>1695633.5</v>
      </c>
      <c r="F17" s="52">
        <f>+'DATOS '!$K$28</f>
        <v>1695633.5</v>
      </c>
      <c r="G17" s="52">
        <f>+'DATOS '!$K$28</f>
        <v>1695633.5</v>
      </c>
      <c r="H17" s="52">
        <f>+'DATOS '!$K$28</f>
        <v>1695633.5</v>
      </c>
      <c r="I17" s="52">
        <f>+'DATOS '!$K$28</f>
        <v>1695633.5</v>
      </c>
      <c r="J17" s="52">
        <f>+'DATOS '!$K$28</f>
        <v>1695633.5</v>
      </c>
      <c r="K17" s="52">
        <f>+'DATOS '!$K$28</f>
        <v>1695633.5</v>
      </c>
      <c r="L17" s="52">
        <f>+'DATOS '!$K$28</f>
        <v>1695633.5</v>
      </c>
      <c r="M17" s="52">
        <f>+'DATOS '!$K$28</f>
        <v>1695633.5</v>
      </c>
      <c r="N17" s="52">
        <f>+'DATOS '!$K$28</f>
        <v>1695633.5</v>
      </c>
      <c r="O17" s="52">
        <f>+'DATOS '!$K$28</f>
        <v>1695633.5</v>
      </c>
      <c r="P17" s="52">
        <f>+'DATOS '!$K$28</f>
        <v>1695633.5</v>
      </c>
      <c r="Q17" s="52">
        <f>+'DATOS '!$K$28</f>
        <v>1695633.5</v>
      </c>
      <c r="R17" s="52">
        <f>+'DATOS '!$K$28</f>
        <v>1695633.5</v>
      </c>
      <c r="S17" s="52">
        <f>+'DATOS '!$K$28</f>
        <v>1695633.5</v>
      </c>
      <c r="T17" s="52"/>
      <c r="U17" s="52"/>
      <c r="V17" s="52"/>
      <c r="W17" s="52"/>
      <c r="X17" s="52"/>
      <c r="Y17" s="52"/>
      <c r="Z17" s="52"/>
      <c r="AA17" s="52"/>
      <c r="AB17" s="52"/>
      <c r="AC17" s="52"/>
    </row>
    <row r="18" spans="2:29" x14ac:dyDescent="0.25">
      <c r="B18" s="197"/>
      <c r="C18" s="51" t="s">
        <v>163</v>
      </c>
      <c r="D18" s="52">
        <f>+'DATOS '!$M$28</f>
        <v>1130309.2911</v>
      </c>
      <c r="E18" s="52">
        <f>+'DATOS '!$M$28</f>
        <v>1130309.2911</v>
      </c>
      <c r="F18" s="52">
        <f>+'DATOS '!$M$28</f>
        <v>1130309.2911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2:29" hidden="1" x14ac:dyDescent="0.25">
      <c r="B19" s="197"/>
      <c r="C19" s="51" t="s">
        <v>142</v>
      </c>
      <c r="D19" s="52">
        <f>+'DATOS '!M28</f>
        <v>1130309.2911</v>
      </c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2:29" x14ac:dyDescent="0.25">
      <c r="B20" s="197"/>
      <c r="C20" s="51" t="s">
        <v>143</v>
      </c>
      <c r="D20" s="52">
        <f>+D17-D18</f>
        <v>565324.20889999997</v>
      </c>
      <c r="E20" s="52">
        <f t="shared" ref="E20:AC20" si="11">+E17-E18</f>
        <v>565324.20889999997</v>
      </c>
      <c r="F20" s="52">
        <f t="shared" si="11"/>
        <v>565324.20889999997</v>
      </c>
      <c r="G20" s="52">
        <f t="shared" si="11"/>
        <v>1695633.5</v>
      </c>
      <c r="H20" s="52">
        <f t="shared" si="11"/>
        <v>1695633.5</v>
      </c>
      <c r="I20" s="52">
        <f t="shared" si="11"/>
        <v>1695633.5</v>
      </c>
      <c r="J20" s="52">
        <f t="shared" si="11"/>
        <v>1695633.5</v>
      </c>
      <c r="K20" s="52">
        <f t="shared" si="11"/>
        <v>1695633.5</v>
      </c>
      <c r="L20" s="52">
        <f t="shared" si="11"/>
        <v>1695633.5</v>
      </c>
      <c r="M20" s="52">
        <f t="shared" si="11"/>
        <v>1695633.5</v>
      </c>
      <c r="N20" s="52">
        <f t="shared" si="11"/>
        <v>1695633.5</v>
      </c>
      <c r="O20" s="52">
        <f t="shared" si="11"/>
        <v>1695633.5</v>
      </c>
      <c r="P20" s="52">
        <f t="shared" si="11"/>
        <v>1695633.5</v>
      </c>
      <c r="Q20" s="52">
        <f t="shared" si="11"/>
        <v>1695633.5</v>
      </c>
      <c r="R20" s="52">
        <f t="shared" si="11"/>
        <v>1695633.5</v>
      </c>
      <c r="S20" s="52">
        <f t="shared" si="11"/>
        <v>1695633.5</v>
      </c>
      <c r="T20" s="52">
        <f t="shared" si="11"/>
        <v>0</v>
      </c>
      <c r="U20" s="52">
        <f t="shared" si="11"/>
        <v>0</v>
      </c>
      <c r="V20" s="52">
        <f t="shared" si="11"/>
        <v>0</v>
      </c>
      <c r="W20" s="52">
        <f t="shared" si="11"/>
        <v>0</v>
      </c>
      <c r="X20" s="52">
        <f t="shared" si="11"/>
        <v>0</v>
      </c>
      <c r="Y20" s="52">
        <f t="shared" si="11"/>
        <v>0</v>
      </c>
      <c r="Z20" s="52">
        <f t="shared" si="11"/>
        <v>0</v>
      </c>
      <c r="AA20" s="52">
        <f t="shared" si="11"/>
        <v>0</v>
      </c>
      <c r="AB20" s="52">
        <f t="shared" si="11"/>
        <v>0</v>
      </c>
      <c r="AC20" s="52">
        <f t="shared" si="11"/>
        <v>0</v>
      </c>
    </row>
    <row r="21" spans="2:29" x14ac:dyDescent="0.25">
      <c r="B21" s="197"/>
      <c r="C21" s="53" t="s">
        <v>144</v>
      </c>
      <c r="D21" s="54">
        <f>+D20*0.14-D19</f>
        <v>-1051163.9018540001</v>
      </c>
      <c r="E21" s="54">
        <f t="shared" ref="E21:AC21" si="12">+E20*0.14-E19</f>
        <v>79145.389246000006</v>
      </c>
      <c r="F21" s="54">
        <f t="shared" si="12"/>
        <v>79145.389246000006</v>
      </c>
      <c r="G21" s="54">
        <f t="shared" si="12"/>
        <v>237388.69000000003</v>
      </c>
      <c r="H21" s="54">
        <f t="shared" si="12"/>
        <v>237388.69000000003</v>
      </c>
      <c r="I21" s="54">
        <f t="shared" si="12"/>
        <v>237388.69000000003</v>
      </c>
      <c r="J21" s="54">
        <f t="shared" si="12"/>
        <v>237388.69000000003</v>
      </c>
      <c r="K21" s="54">
        <f t="shared" si="12"/>
        <v>237388.69000000003</v>
      </c>
      <c r="L21" s="54">
        <f t="shared" si="12"/>
        <v>237388.69000000003</v>
      </c>
      <c r="M21" s="54">
        <f t="shared" si="12"/>
        <v>237388.69000000003</v>
      </c>
      <c r="N21" s="54">
        <f t="shared" si="12"/>
        <v>237388.69000000003</v>
      </c>
      <c r="O21" s="54">
        <f t="shared" si="12"/>
        <v>237388.69000000003</v>
      </c>
      <c r="P21" s="54">
        <f t="shared" si="12"/>
        <v>237388.69000000003</v>
      </c>
      <c r="Q21" s="54">
        <f t="shared" si="12"/>
        <v>237388.69000000003</v>
      </c>
      <c r="R21" s="54">
        <f t="shared" si="12"/>
        <v>237388.69000000003</v>
      </c>
      <c r="S21" s="54">
        <f t="shared" si="12"/>
        <v>237388.69000000003</v>
      </c>
      <c r="T21" s="54">
        <f t="shared" si="12"/>
        <v>0</v>
      </c>
      <c r="U21" s="54">
        <f t="shared" si="12"/>
        <v>0</v>
      </c>
      <c r="V21" s="54">
        <f t="shared" si="12"/>
        <v>0</v>
      </c>
      <c r="W21" s="54">
        <f t="shared" si="12"/>
        <v>0</v>
      </c>
      <c r="X21" s="54">
        <f t="shared" si="12"/>
        <v>0</v>
      </c>
      <c r="Y21" s="54">
        <f t="shared" si="12"/>
        <v>0</v>
      </c>
      <c r="Z21" s="54">
        <f t="shared" si="12"/>
        <v>0</v>
      </c>
      <c r="AA21" s="54">
        <f t="shared" si="12"/>
        <v>0</v>
      </c>
      <c r="AB21" s="54">
        <f t="shared" si="12"/>
        <v>0</v>
      </c>
      <c r="AC21" s="54">
        <f t="shared" si="12"/>
        <v>0</v>
      </c>
    </row>
    <row r="22" spans="2:29" x14ac:dyDescent="0.25">
      <c r="B22" s="206" t="s">
        <v>145</v>
      </c>
      <c r="C22" s="206"/>
      <c r="D22" s="52">
        <f>+D7-(D21+D16)</f>
        <v>-5127403.8636460006</v>
      </c>
      <c r="E22" s="52">
        <f>+E7-(E21+E16)</f>
        <v>1660240.2209452896</v>
      </c>
      <c r="F22" s="52">
        <f t="shared" ref="F22:AC22" si="13">+F7-F21-F16</f>
        <v>1760041.911429354</v>
      </c>
      <c r="G22" s="52">
        <f t="shared" si="13"/>
        <v>1706975.3579828569</v>
      </c>
      <c r="H22" s="52">
        <f t="shared" si="13"/>
        <v>1817807.4641239473</v>
      </c>
      <c r="I22" s="52">
        <f t="shared" si="13"/>
        <v>1934589.59268435</v>
      </c>
      <c r="J22" s="52">
        <f t="shared" si="13"/>
        <v>2057631.4972983995</v>
      </c>
      <c r="K22" s="52">
        <f t="shared" si="13"/>
        <v>2187258.7868575458</v>
      </c>
      <c r="L22" s="52">
        <f t="shared" si="13"/>
        <v>2323813.7293004771</v>
      </c>
      <c r="M22" s="52">
        <f t="shared" si="13"/>
        <v>2467656.095923556</v>
      </c>
      <c r="N22" s="52">
        <f t="shared" si="13"/>
        <v>2619164.0482475306</v>
      </c>
      <c r="O22" s="52">
        <f t="shared" si="13"/>
        <v>2778735.0695785373</v>
      </c>
      <c r="P22" s="52">
        <f t="shared" si="13"/>
        <v>2946786.9435086534</v>
      </c>
      <c r="Q22" s="52">
        <f t="shared" si="13"/>
        <v>3123758.7817138117</v>
      </c>
      <c r="R22" s="52">
        <f t="shared" si="13"/>
        <v>3310112.103525118</v>
      </c>
      <c r="S22" s="52">
        <f t="shared" si="13"/>
        <v>3506331.9698737604</v>
      </c>
      <c r="T22" s="52">
        <f t="shared" si="13"/>
        <v>3950316.864340005</v>
      </c>
      <c r="U22" s="52">
        <f t="shared" si="13"/>
        <v>4167825.1841737395</v>
      </c>
      <c r="V22" s="52">
        <f t="shared" si="13"/>
        <v>4396808.694297662</v>
      </c>
      <c r="W22" s="52">
        <f t="shared" si="13"/>
        <v>4637859.1474552387</v>
      </c>
      <c r="X22" s="52">
        <f t="shared" si="13"/>
        <v>4891598.4238239732</v>
      </c>
      <c r="Y22" s="52">
        <f t="shared" si="13"/>
        <v>5158680.0535810255</v>
      </c>
      <c r="Z22" s="52">
        <f t="shared" si="13"/>
        <v>5439790.816082906</v>
      </c>
      <c r="AA22" s="52">
        <f t="shared" si="13"/>
        <v>5735652.4195045643</v>
      </c>
      <c r="AB22" s="52">
        <f t="shared" si="13"/>
        <v>6047023.2649758309</v>
      </c>
      <c r="AC22" s="52">
        <f t="shared" si="13"/>
        <v>6374700.299455543</v>
      </c>
    </row>
    <row r="23" spans="2:29" x14ac:dyDescent="0.25">
      <c r="B23" s="207" t="s">
        <v>146</v>
      </c>
      <c r="C23" s="207"/>
      <c r="D23" s="55">
        <f>1/(1+0.12)^(D2+1)</f>
        <v>0.89285714285714279</v>
      </c>
      <c r="E23" s="55">
        <f>1/(1+0.12)^(E2+1)</f>
        <v>0.79719387755102034</v>
      </c>
      <c r="F23" s="55">
        <f t="shared" ref="F23:AC23" si="14">1/(1+0.12)^(F2+1)</f>
        <v>0.71178024781341087</v>
      </c>
      <c r="G23" s="55">
        <f t="shared" si="14"/>
        <v>0.63551807840483121</v>
      </c>
      <c r="H23" s="55">
        <f t="shared" si="14"/>
        <v>0.56742685571859919</v>
      </c>
      <c r="I23" s="55">
        <f t="shared" si="14"/>
        <v>0.50663112117732068</v>
      </c>
      <c r="J23" s="55">
        <f t="shared" si="14"/>
        <v>0.45234921533689343</v>
      </c>
      <c r="K23" s="55">
        <f t="shared" si="14"/>
        <v>0.4038832279793691</v>
      </c>
      <c r="L23" s="55">
        <f t="shared" si="14"/>
        <v>0.36061002498157957</v>
      </c>
      <c r="M23" s="55">
        <f t="shared" si="14"/>
        <v>0.32197323659069599</v>
      </c>
      <c r="N23" s="55">
        <f t="shared" si="14"/>
        <v>0.28747610409883567</v>
      </c>
      <c r="O23" s="55">
        <f t="shared" si="14"/>
        <v>0.25667509294538904</v>
      </c>
      <c r="P23" s="55">
        <f t="shared" si="14"/>
        <v>0.22917419012981158</v>
      </c>
      <c r="Q23" s="55">
        <f t="shared" si="14"/>
        <v>0.20461981261590317</v>
      </c>
      <c r="R23" s="55">
        <f t="shared" si="14"/>
        <v>0.18269626126419927</v>
      </c>
      <c r="S23" s="55">
        <f t="shared" si="14"/>
        <v>0.16312166184303503</v>
      </c>
      <c r="T23" s="55">
        <f t="shared" si="14"/>
        <v>0.14564434093128129</v>
      </c>
      <c r="U23" s="55">
        <f t="shared" si="14"/>
        <v>0.13003959011721541</v>
      </c>
      <c r="V23" s="55">
        <f t="shared" si="14"/>
        <v>0.1161067768903709</v>
      </c>
      <c r="W23" s="55">
        <f t="shared" si="14"/>
        <v>0.1036667650806883</v>
      </c>
      <c r="X23" s="55">
        <f t="shared" si="14"/>
        <v>9.2559611679185971E-2</v>
      </c>
      <c r="Y23" s="55">
        <f t="shared" si="14"/>
        <v>8.2642510427844609E-2</v>
      </c>
      <c r="Z23" s="55">
        <f t="shared" si="14"/>
        <v>7.3787955739146982E-2</v>
      </c>
      <c r="AA23" s="55">
        <f t="shared" si="14"/>
        <v>6.5882103338524081E-2</v>
      </c>
      <c r="AB23" s="55">
        <f t="shared" si="14"/>
        <v>5.8823306552253637E-2</v>
      </c>
      <c r="AC23" s="55">
        <f t="shared" si="14"/>
        <v>5.2520809421655032E-2</v>
      </c>
    </row>
    <row r="24" spans="2:29" x14ac:dyDescent="0.25">
      <c r="B24" s="202" t="s">
        <v>147</v>
      </c>
      <c r="C24" s="202"/>
      <c r="D24" s="5">
        <f>+D23*D22</f>
        <v>-4578039.1639696434</v>
      </c>
      <c r="E24" s="5">
        <f>+E23*E22</f>
        <v>1323533.3394015383</v>
      </c>
      <c r="F24" s="5">
        <f t="shared" ref="F24:R24" si="15">+F23*F22</f>
        <v>1252763.0678791748</v>
      </c>
      <c r="G24" s="5">
        <f t="shared" si="15"/>
        <v>1084813.699389664</v>
      </c>
      <c r="H24" s="5">
        <f t="shared" si="15"/>
        <v>1031472.7736696517</v>
      </c>
      <c r="I24" s="5">
        <f t="shared" si="15"/>
        <v>980123.29435964837</v>
      </c>
      <c r="J24" s="5">
        <f t="shared" si="15"/>
        <v>930767.99325540813</v>
      </c>
      <c r="K24" s="5">
        <f t="shared" si="15"/>
        <v>883397.13926226448</v>
      </c>
      <c r="L24" s="5">
        <f t="shared" si="15"/>
        <v>837990.52697558259</v>
      </c>
      <c r="M24" s="5">
        <f t="shared" si="15"/>
        <v>794519.21999726829</v>
      </c>
      <c r="N24" s="5">
        <f t="shared" si="15"/>
        <v>752947.07658593496</v>
      </c>
      <c r="O24" s="5">
        <f t="shared" si="15"/>
        <v>713232.08225468313</v>
      </c>
      <c r="P24" s="5">
        <f t="shared" si="15"/>
        <v>675327.51126369846</v>
      </c>
      <c r="Q24" s="5">
        <f t="shared" si="15"/>
        <v>639182.93657156208</v>
      </c>
      <c r="R24" s="5">
        <f t="shared" si="15"/>
        <v>604745.10567941319</v>
      </c>
      <c r="S24" s="5">
        <f>+S23*S22</f>
        <v>571958.69789917045</v>
      </c>
      <c r="T24" s="5">
        <f t="shared" ref="T24:AC24" si="16">+T23*T22</f>
        <v>575341.29617652576</v>
      </c>
      <c r="U24" s="5">
        <f t="shared" si="16"/>
        <v>541982.27863016096</v>
      </c>
      <c r="V24" s="5">
        <f t="shared" si="16"/>
        <v>510499.2860984616</v>
      </c>
      <c r="W24" s="5">
        <f t="shared" si="16"/>
        <v>480791.85471656354</v>
      </c>
      <c r="X24" s="5">
        <f t="shared" si="16"/>
        <v>452764.45059966511</v>
      </c>
      <c r="Y24" s="5">
        <f t="shared" si="16"/>
        <v>426326.27012198389</v>
      </c>
      <c r="Z24" s="5">
        <f t="shared" si="16"/>
        <v>401391.04396734369</v>
      </c>
      <c r="AA24" s="5">
        <f t="shared" si="16"/>
        <v>377876.84541565535</v>
      </c>
      <c r="AB24" s="5">
        <f t="shared" si="16"/>
        <v>355705.90324428299</v>
      </c>
      <c r="AC24" s="5">
        <f t="shared" si="16"/>
        <v>334804.41954787186</v>
      </c>
    </row>
    <row r="25" spans="2:29" x14ac:dyDescent="0.25">
      <c r="B25" s="202" t="s">
        <v>164</v>
      </c>
      <c r="C25" s="202"/>
      <c r="D25" s="5">
        <f>+SUM(D21:AC21)</f>
        <v>2193179.8466380001</v>
      </c>
    </row>
    <row r="26" spans="2:29" x14ac:dyDescent="0.25">
      <c r="D26" s="7"/>
    </row>
    <row r="27" spans="2:29" x14ac:dyDescent="0.25">
      <c r="C27" t="s">
        <v>149</v>
      </c>
      <c r="D27" s="81">
        <f>+IRR(D24:AC24)</f>
        <v>0.22221498142157881</v>
      </c>
    </row>
    <row r="29" spans="2:29" x14ac:dyDescent="0.25">
      <c r="E29" t="s">
        <v>151</v>
      </c>
      <c r="F29" t="s">
        <v>152</v>
      </c>
    </row>
    <row r="30" spans="2:29" x14ac:dyDescent="0.25">
      <c r="D30" s="5"/>
      <c r="E30" s="8">
        <v>5.0000000000000001E-3</v>
      </c>
      <c r="F30" s="5">
        <f t="shared" ref="F30:F35" si="17">+NPV(E30,$E$24:$AC$24)+$D$24</f>
        <v>12092174.516693728</v>
      </c>
    </row>
    <row r="31" spans="2:29" x14ac:dyDescent="0.25">
      <c r="D31" s="5"/>
      <c r="E31" s="8">
        <f>+E30+0.01</f>
        <v>1.4999999999999999E-2</v>
      </c>
      <c r="F31" s="5">
        <f t="shared" si="17"/>
        <v>10553416.222907992</v>
      </c>
    </row>
    <row r="32" spans="2:29" x14ac:dyDescent="0.25">
      <c r="D32" s="5"/>
      <c r="E32" s="8">
        <f t="shared" ref="E32:E88" si="18">+E31+0.01</f>
        <v>2.5000000000000001E-2</v>
      </c>
      <c r="F32" s="5">
        <f t="shared" si="17"/>
        <v>9230479.3937312141</v>
      </c>
    </row>
    <row r="33" spans="3:6" x14ac:dyDescent="0.25">
      <c r="D33" s="5"/>
      <c r="E33" s="8">
        <f t="shared" si="18"/>
        <v>3.5000000000000003E-2</v>
      </c>
      <c r="F33" s="5">
        <f t="shared" si="17"/>
        <v>8086861.0809619091</v>
      </c>
    </row>
    <row r="34" spans="3:6" x14ac:dyDescent="0.25">
      <c r="D34" s="5"/>
      <c r="E34" s="8">
        <f t="shared" si="18"/>
        <v>4.5000000000000005E-2</v>
      </c>
      <c r="F34" s="5">
        <f t="shared" si="17"/>
        <v>7092965.8249459974</v>
      </c>
    </row>
    <row r="35" spans="3:6" x14ac:dyDescent="0.25">
      <c r="D35" s="5"/>
      <c r="E35" s="8">
        <f t="shared" si="18"/>
        <v>5.5000000000000007E-2</v>
      </c>
      <c r="F35" s="5">
        <f t="shared" si="17"/>
        <v>6224691.7699167877</v>
      </c>
    </row>
    <row r="36" spans="3:6" x14ac:dyDescent="0.25">
      <c r="D36" s="5"/>
      <c r="E36" s="8">
        <f t="shared" si="18"/>
        <v>6.5000000000000002E-2</v>
      </c>
      <c r="F36" s="5">
        <f t="shared" ref="F36:F50" si="19">+NPV(E36,$E$24:$AC$24)+$D$24</f>
        <v>5462324.177789079</v>
      </c>
    </row>
    <row r="37" spans="3:6" x14ac:dyDescent="0.25">
      <c r="D37" s="5"/>
      <c r="E37" s="8">
        <f t="shared" si="18"/>
        <v>7.4999999999999997E-2</v>
      </c>
      <c r="F37" s="5">
        <f t="shared" si="19"/>
        <v>4789666.1336818859</v>
      </c>
    </row>
    <row r="38" spans="3:6" x14ac:dyDescent="0.25">
      <c r="D38" s="5"/>
      <c r="E38" s="8">
        <f t="shared" si="18"/>
        <v>8.4999999999999992E-2</v>
      </c>
      <c r="F38" s="5">
        <f t="shared" si="19"/>
        <v>4193352.9575543888</v>
      </c>
    </row>
    <row r="39" spans="3:6" x14ac:dyDescent="0.25">
      <c r="D39" s="5"/>
      <c r="E39" s="8">
        <f t="shared" si="18"/>
        <v>9.4999999999999987E-2</v>
      </c>
      <c r="F39" s="5">
        <f t="shared" si="19"/>
        <v>3662309.4258820284</v>
      </c>
    </row>
    <row r="40" spans="3:6" x14ac:dyDescent="0.25">
      <c r="D40" s="5"/>
      <c r="E40" s="8">
        <f t="shared" si="18"/>
        <v>0.10499999999999998</v>
      </c>
      <c r="F40" s="5">
        <f t="shared" si="19"/>
        <v>3187318.4202897279</v>
      </c>
    </row>
    <row r="41" spans="3:6" x14ac:dyDescent="0.25">
      <c r="C41" s="7"/>
      <c r="E41" s="8">
        <f t="shared" si="18"/>
        <v>0.11499999999999998</v>
      </c>
      <c r="F41" s="5">
        <f t="shared" si="19"/>
        <v>2760676.8339226693</v>
      </c>
    </row>
    <row r="42" spans="3:6" x14ac:dyDescent="0.25">
      <c r="E42" s="8">
        <f t="shared" si="18"/>
        <v>0.12499999999999997</v>
      </c>
      <c r="F42" s="5">
        <f t="shared" si="19"/>
        <v>2375920.0559843555</v>
      </c>
    </row>
    <row r="43" spans="3:6" x14ac:dyDescent="0.25">
      <c r="E43" s="8">
        <f t="shared" si="18"/>
        <v>0.13499999999999998</v>
      </c>
      <c r="F43" s="5">
        <f t="shared" si="19"/>
        <v>2027600.5469545526</v>
      </c>
    </row>
    <row r="44" spans="3:6" x14ac:dyDescent="0.25">
      <c r="E44" s="8">
        <f t="shared" si="18"/>
        <v>0.14499999999999999</v>
      </c>
      <c r="F44" s="5">
        <f t="shared" si="19"/>
        <v>1711109.229232111</v>
      </c>
    </row>
    <row r="45" spans="3:6" x14ac:dyDescent="0.25">
      <c r="E45" s="8">
        <f t="shared" si="18"/>
        <v>0.155</v>
      </c>
      <c r="F45" s="5">
        <f t="shared" si="19"/>
        <v>1422530.8877370209</v>
      </c>
    </row>
    <row r="46" spans="3:6" x14ac:dyDescent="0.25">
      <c r="E46" s="8">
        <f t="shared" si="18"/>
        <v>0.16500000000000001</v>
      </c>
      <c r="F46" s="5">
        <f t="shared" si="19"/>
        <v>1158526.6803474743</v>
      </c>
    </row>
    <row r="47" spans="3:6" x14ac:dyDescent="0.25">
      <c r="E47" s="8">
        <f t="shared" si="18"/>
        <v>0.17500000000000002</v>
      </c>
      <c r="F47" s="5">
        <f t="shared" si="19"/>
        <v>916238.33283996675</v>
      </c>
    </row>
    <row r="48" spans="3:6" x14ac:dyDescent="0.25">
      <c r="E48" s="8">
        <f t="shared" si="18"/>
        <v>0.18500000000000003</v>
      </c>
      <c r="F48" s="5">
        <f t="shared" si="19"/>
        <v>693209.73829976842</v>
      </c>
    </row>
    <row r="49" spans="5:6" x14ac:dyDescent="0.25">
      <c r="E49" s="8">
        <f t="shared" si="18"/>
        <v>0.19500000000000003</v>
      </c>
      <c r="F49" s="5">
        <f t="shared" si="19"/>
        <v>487322.57329420652</v>
      </c>
    </row>
    <row r="50" spans="5:6" x14ac:dyDescent="0.25">
      <c r="E50" s="8">
        <f t="shared" si="18"/>
        <v>0.20500000000000004</v>
      </c>
      <c r="F50" s="5">
        <f t="shared" si="19"/>
        <v>296743.24057692289</v>
      </c>
    </row>
    <row r="51" spans="5:6" x14ac:dyDescent="0.25">
      <c r="E51" s="8">
        <f t="shared" si="18"/>
        <v>0.21500000000000005</v>
      </c>
      <c r="F51" s="5">
        <f>+NPV(E51,$E$24:$AC$24)+$D$24</f>
        <v>119878.99501069449</v>
      </c>
    </row>
    <row r="52" spans="5:6" x14ac:dyDescent="0.25">
      <c r="E52" s="8">
        <f t="shared" si="18"/>
        <v>0.22500000000000006</v>
      </c>
      <c r="F52" s="5">
        <f>+NPV(E52,$E$24:$AC$24)+$D$24</f>
        <v>-44658.460381563753</v>
      </c>
    </row>
    <row r="53" spans="5:6" x14ac:dyDescent="0.25">
      <c r="E53" s="8">
        <f t="shared" si="18"/>
        <v>0.23500000000000007</v>
      </c>
      <c r="F53" s="5">
        <f t="shared" ref="F53:F61" si="20">+NPV(E53,$E$24:$AC$24)+$D$24</f>
        <v>-198083.28184100427</v>
      </c>
    </row>
    <row r="54" spans="5:6" x14ac:dyDescent="0.25">
      <c r="E54" s="8">
        <f t="shared" si="18"/>
        <v>0.24500000000000008</v>
      </c>
      <c r="F54" s="5">
        <f t="shared" si="20"/>
        <v>-341460.80065361597</v>
      </c>
    </row>
    <row r="55" spans="5:6" x14ac:dyDescent="0.25">
      <c r="E55" s="8">
        <f t="shared" si="18"/>
        <v>0.25500000000000006</v>
      </c>
      <c r="F55" s="5">
        <f t="shared" si="20"/>
        <v>-475728.73880627519</v>
      </c>
    </row>
    <row r="56" spans="5:6" x14ac:dyDescent="0.25">
      <c r="E56" s="8">
        <f t="shared" si="18"/>
        <v>0.26500000000000007</v>
      </c>
      <c r="F56" s="5">
        <f t="shared" si="20"/>
        <v>-601715.04611151246</v>
      </c>
    </row>
    <row r="57" spans="5:6" x14ac:dyDescent="0.25">
      <c r="E57" s="8">
        <f t="shared" si="18"/>
        <v>0.27500000000000008</v>
      </c>
      <c r="F57" s="5">
        <f t="shared" si="20"/>
        <v>-720152.94465465844</v>
      </c>
    </row>
    <row r="58" spans="5:6" x14ac:dyDescent="0.25">
      <c r="E58" s="8">
        <f t="shared" si="18"/>
        <v>0.28500000000000009</v>
      </c>
      <c r="F58" s="5">
        <f t="shared" si="20"/>
        <v>-831693.6576602729</v>
      </c>
    </row>
    <row r="59" spans="5:6" x14ac:dyDescent="0.25">
      <c r="E59" s="8">
        <f t="shared" si="18"/>
        <v>0.2950000000000001</v>
      </c>
      <c r="F59" s="5">
        <f t="shared" si="20"/>
        <v>-936917.21247916156</v>
      </c>
    </row>
    <row r="60" spans="5:6" x14ac:dyDescent="0.25">
      <c r="E60" s="8">
        <f t="shared" si="18"/>
        <v>0.3050000000000001</v>
      </c>
      <c r="F60" s="5">
        <f t="shared" si="20"/>
        <v>-1036341.6369607854</v>
      </c>
    </row>
    <row r="61" spans="5:6" x14ac:dyDescent="0.25">
      <c r="E61" s="8">
        <f t="shared" si="18"/>
        <v>0.31500000000000011</v>
      </c>
      <c r="F61" s="5">
        <f t="shared" si="20"/>
        <v>-1130430.8115425166</v>
      </c>
    </row>
    <row r="62" spans="5:6" x14ac:dyDescent="0.25">
      <c r="E62" s="8">
        <f t="shared" si="18"/>
        <v>0.32500000000000012</v>
      </c>
      <c r="F62" s="5">
        <f>+NPV(E62,$E$24:$AC$24)+$D$24</f>
        <v>-1219601.1932359245</v>
      </c>
    </row>
    <row r="63" spans="5:6" x14ac:dyDescent="0.25">
      <c r="E63" s="8">
        <f t="shared" si="18"/>
        <v>0.33500000000000013</v>
      </c>
      <c r="F63" s="5">
        <f>+NPV(E63,$E$24:$AC$24)+$D$24</f>
        <v>-1304227.5901724878</v>
      </c>
    </row>
    <row r="64" spans="5:6" x14ac:dyDescent="0.25">
      <c r="E64" s="8">
        <f t="shared" si="18"/>
        <v>0.34500000000000014</v>
      </c>
      <c r="F64" s="5">
        <f t="shared" ref="F64:F70" si="21">+NPV(E64,$E$24:$AC$24)+$D$24</f>
        <v>-1384648.1347856848</v>
      </c>
    </row>
    <row r="65" spans="5:6" x14ac:dyDescent="0.25">
      <c r="E65" s="8">
        <f t="shared" si="18"/>
        <v>0.35500000000000015</v>
      </c>
      <c r="F65" s="5">
        <f t="shared" si="21"/>
        <v>-1461168.5787028284</v>
      </c>
    </row>
    <row r="66" spans="5:6" x14ac:dyDescent="0.25">
      <c r="E66" s="8">
        <f t="shared" si="18"/>
        <v>0.36500000000000016</v>
      </c>
      <c r="F66" s="5">
        <f t="shared" si="21"/>
        <v>-1534066.0119232135</v>
      </c>
    </row>
    <row r="67" spans="5:6" x14ac:dyDescent="0.25">
      <c r="E67" s="8">
        <f t="shared" si="18"/>
        <v>0.37500000000000017</v>
      </c>
      <c r="F67" s="5">
        <f t="shared" si="21"/>
        <v>-1603592.0920107188</v>
      </c>
    </row>
    <row r="68" spans="5:6" x14ac:dyDescent="0.25">
      <c r="E68" s="8">
        <f t="shared" si="18"/>
        <v>0.38500000000000018</v>
      </c>
      <c r="F68" s="5">
        <f t="shared" si="21"/>
        <v>-1669975.8551423117</v>
      </c>
    </row>
    <row r="69" spans="5:6" x14ac:dyDescent="0.25">
      <c r="E69" s="8">
        <f t="shared" si="18"/>
        <v>0.39500000000000018</v>
      </c>
      <c r="F69" s="5">
        <f t="shared" si="21"/>
        <v>-1733426.1693776664</v>
      </c>
    </row>
    <row r="70" spans="5:6" x14ac:dyDescent="0.25">
      <c r="E70" s="8">
        <f t="shared" si="18"/>
        <v>0.40500000000000019</v>
      </c>
      <c r="F70" s="5">
        <f t="shared" si="21"/>
        <v>-1794133.8810058734</v>
      </c>
    </row>
    <row r="71" spans="5:6" x14ac:dyDescent="0.25">
      <c r="E71" s="8">
        <f t="shared" si="18"/>
        <v>0.4150000000000002</v>
      </c>
      <c r="F71" s="5">
        <f>+NPV(E71,$E$24:$AC$24)+$D$24</f>
        <v>-1852273.6969253374</v>
      </c>
    </row>
    <row r="72" spans="5:6" x14ac:dyDescent="0.25">
      <c r="E72" s="8">
        <f t="shared" si="18"/>
        <v>0.42500000000000021</v>
      </c>
      <c r="F72" s="5">
        <f>+NPV(E72,$E$24:$AC$24)+$D$24</f>
        <v>-1908005.8394331262</v>
      </c>
    </row>
    <row r="73" spans="5:6" x14ac:dyDescent="0.25">
      <c r="E73" s="8">
        <f t="shared" si="18"/>
        <v>0.43500000000000022</v>
      </c>
      <c r="F73" s="5">
        <f t="shared" ref="F73:F88" si="22">+NPV(E73,$E$24:$AC$24)+$D$24</f>
        <v>-1961477.504305759</v>
      </c>
    </row>
    <row r="74" spans="5:6" x14ac:dyDescent="0.25">
      <c r="E74" s="8">
        <f t="shared" si="18"/>
        <v>0.44500000000000023</v>
      </c>
      <c r="F74" s="5">
        <f t="shared" si="22"/>
        <v>-2012824.148454051</v>
      </c>
    </row>
    <row r="75" spans="5:6" x14ac:dyDescent="0.25">
      <c r="E75" s="8">
        <f t="shared" si="18"/>
        <v>0.45500000000000024</v>
      </c>
      <c r="F75" s="5">
        <f t="shared" si="22"/>
        <v>-2062170.6295749298</v>
      </c>
    </row>
    <row r="76" spans="5:6" x14ac:dyDescent="0.25">
      <c r="E76" s="8">
        <f t="shared" si="18"/>
        <v>0.46500000000000025</v>
      </c>
      <c r="F76" s="5">
        <f t="shared" si="22"/>
        <v>-2109632.2169761136</v>
      </c>
    </row>
    <row r="77" spans="5:6" x14ac:dyDescent="0.25">
      <c r="E77" s="8">
        <f t="shared" si="18"/>
        <v>0.47500000000000026</v>
      </c>
      <c r="F77" s="5">
        <f t="shared" si="22"/>
        <v>-2155315.4900115496</v>
      </c>
    </row>
    <row r="78" spans="5:6" x14ac:dyDescent="0.25">
      <c r="E78" s="8">
        <f t="shared" si="18"/>
        <v>0.48500000000000026</v>
      </c>
      <c r="F78" s="5">
        <f t="shared" si="22"/>
        <v>-2199319.1382510434</v>
      </c>
    </row>
    <row r="79" spans="5:6" x14ac:dyDescent="0.25">
      <c r="E79" s="8">
        <f t="shared" si="18"/>
        <v>0.49500000000000027</v>
      </c>
      <c r="F79" s="5">
        <f t="shared" si="22"/>
        <v>-2241734.6755466326</v>
      </c>
    </row>
    <row r="80" spans="5:6" x14ac:dyDescent="0.25">
      <c r="E80" s="8">
        <f t="shared" si="18"/>
        <v>0.50500000000000023</v>
      </c>
      <c r="F80" s="5">
        <f t="shared" si="22"/>
        <v>-2282647.0784931136</v>
      </c>
    </row>
    <row r="81" spans="5:6" x14ac:dyDescent="0.25">
      <c r="E81" s="8">
        <f t="shared" si="18"/>
        <v>0.51500000000000024</v>
      </c>
      <c r="F81" s="5">
        <f t="shared" si="22"/>
        <v>-2322135.3583627292</v>
      </c>
    </row>
    <row r="82" spans="5:6" x14ac:dyDescent="0.25">
      <c r="E82" s="8">
        <f t="shared" si="18"/>
        <v>0.52500000000000024</v>
      </c>
      <c r="F82" s="5">
        <f t="shared" si="22"/>
        <v>-2360273.0743851294</v>
      </c>
    </row>
    <row r="83" spans="5:6" x14ac:dyDescent="0.25">
      <c r="E83" s="8">
        <f t="shared" si="18"/>
        <v>0.53500000000000025</v>
      </c>
      <c r="F83" s="5">
        <f t="shared" si="22"/>
        <v>-2397128.7952100113</v>
      </c>
    </row>
    <row r="84" spans="5:6" x14ac:dyDescent="0.25">
      <c r="E84" s="8">
        <f t="shared" si="18"/>
        <v>0.54500000000000026</v>
      </c>
      <c r="F84" s="5">
        <f t="shared" si="22"/>
        <v>-2432766.5145043642</v>
      </c>
    </row>
    <row r="85" spans="5:6" x14ac:dyDescent="0.25">
      <c r="E85" s="8">
        <f t="shared" si="18"/>
        <v>0.55500000000000027</v>
      </c>
      <c r="F85" s="5">
        <f t="shared" si="22"/>
        <v>-2467246.0258758832</v>
      </c>
    </row>
    <row r="86" spans="5:6" x14ac:dyDescent="0.25">
      <c r="E86" s="8">
        <f t="shared" si="18"/>
        <v>0.56500000000000028</v>
      </c>
      <c r="F86" s="5">
        <f>+NPV(E86,$E$24:$AC$24)+$D$24</f>
        <v>-2500623.2616599491</v>
      </c>
    </row>
    <row r="87" spans="5:6" x14ac:dyDescent="0.25">
      <c r="E87" s="8">
        <f t="shared" si="18"/>
        <v>0.57500000000000029</v>
      </c>
      <c r="F87" s="5">
        <f t="shared" si="22"/>
        <v>-2532950.5995435808</v>
      </c>
    </row>
    <row r="88" spans="5:6" x14ac:dyDescent="0.25">
      <c r="E88" s="8">
        <f t="shared" si="18"/>
        <v>0.5850000000000003</v>
      </c>
      <c r="F88" s="5">
        <f t="shared" si="22"/>
        <v>-2564277.1405125186</v>
      </c>
    </row>
  </sheetData>
  <mergeCells count="7">
    <mergeCell ref="B25:C25"/>
    <mergeCell ref="B3:B7"/>
    <mergeCell ref="B10:B16"/>
    <mergeCell ref="B17:B21"/>
    <mergeCell ref="B22:C22"/>
    <mergeCell ref="B23:C23"/>
    <mergeCell ref="B24:C2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5B9B4-20DA-496A-B435-881A39AD7099}">
  <dimension ref="C8:E19"/>
  <sheetViews>
    <sheetView showGridLines="0" topLeftCell="C1" workbookViewId="0">
      <selection activeCell="E14" sqref="E14"/>
    </sheetView>
  </sheetViews>
  <sheetFormatPr baseColWidth="10" defaultColWidth="11.42578125" defaultRowHeight="15" x14ac:dyDescent="0.25"/>
  <cols>
    <col min="2" max="2" width="8.5703125" customWidth="1"/>
    <col min="3" max="3" width="19.5703125" bestFit="1" customWidth="1"/>
    <col min="4" max="4" width="35.42578125" bestFit="1" customWidth="1"/>
    <col min="5" max="5" width="20" customWidth="1"/>
  </cols>
  <sheetData>
    <row r="8" spans="3:5" x14ac:dyDescent="0.25">
      <c r="C8" s="116" t="s">
        <v>168</v>
      </c>
      <c r="D8" s="116" t="s">
        <v>169</v>
      </c>
      <c r="E8" s="129" t="s">
        <v>117</v>
      </c>
    </row>
    <row r="9" spans="3:5" x14ac:dyDescent="0.25">
      <c r="C9" s="2" t="s">
        <v>170</v>
      </c>
      <c r="D9" s="59" t="s">
        <v>13</v>
      </c>
      <c r="E9" s="3">
        <v>39.01</v>
      </c>
    </row>
    <row r="10" spans="3:5" x14ac:dyDescent="0.25">
      <c r="C10" s="2" t="s">
        <v>170</v>
      </c>
      <c r="D10" s="59" t="s">
        <v>15</v>
      </c>
      <c r="E10" s="3">
        <v>27.63</v>
      </c>
    </row>
    <row r="11" spans="3:5" x14ac:dyDescent="0.25">
      <c r="C11" s="2" t="s">
        <v>170</v>
      </c>
      <c r="D11" s="59" t="s">
        <v>17</v>
      </c>
      <c r="E11" s="3">
        <f>+LCOH!D40</f>
        <v>10.039999999999999</v>
      </c>
    </row>
    <row r="12" spans="3:5" x14ac:dyDescent="0.25">
      <c r="C12" s="2" t="s">
        <v>170</v>
      </c>
      <c r="D12" s="59" t="s">
        <v>19</v>
      </c>
      <c r="E12" s="3">
        <f>+LCOH!D41</f>
        <v>9.6300000000000008</v>
      </c>
    </row>
    <row r="13" spans="3:5" x14ac:dyDescent="0.25">
      <c r="C13" s="2" t="s">
        <v>170</v>
      </c>
      <c r="D13" s="59" t="s">
        <v>21</v>
      </c>
      <c r="E13" s="3">
        <v>28.09</v>
      </c>
    </row>
    <row r="14" spans="3:5" x14ac:dyDescent="0.25">
      <c r="C14" s="2" t="s">
        <v>171</v>
      </c>
      <c r="D14" s="59" t="s">
        <v>172</v>
      </c>
      <c r="E14" s="3">
        <v>5.8</v>
      </c>
    </row>
    <row r="15" spans="3:5" x14ac:dyDescent="0.25">
      <c r="C15" s="2" t="s">
        <v>171</v>
      </c>
      <c r="D15" s="59" t="s">
        <v>173</v>
      </c>
      <c r="E15" s="3">
        <v>3.9</v>
      </c>
    </row>
    <row r="16" spans="3:5" x14ac:dyDescent="0.25">
      <c r="C16" s="2" t="s">
        <v>171</v>
      </c>
      <c r="D16" s="59" t="s">
        <v>174</v>
      </c>
      <c r="E16" s="3">
        <v>3.52</v>
      </c>
    </row>
    <row r="17" spans="3:5" x14ac:dyDescent="0.25">
      <c r="C17" s="2" t="s">
        <v>171</v>
      </c>
      <c r="D17" s="59" t="s">
        <v>175</v>
      </c>
      <c r="E17" s="3">
        <v>3.03</v>
      </c>
    </row>
    <row r="18" spans="3:5" x14ac:dyDescent="0.25">
      <c r="C18" s="2" t="s">
        <v>171</v>
      </c>
      <c r="D18" s="59" t="s">
        <v>176</v>
      </c>
      <c r="E18" s="3">
        <v>2.19</v>
      </c>
    </row>
    <row r="19" spans="3:5" x14ac:dyDescent="0.25">
      <c r="C19" s="2" t="s">
        <v>177</v>
      </c>
      <c r="D19" s="59" t="s">
        <v>178</v>
      </c>
      <c r="E19" s="3">
        <v>5.6</v>
      </c>
    </row>
  </sheetData>
  <phoneticPr fontId="16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4333C-C7A6-48B1-8F71-BDD18787A662}">
  <dimension ref="A1:I18"/>
  <sheetViews>
    <sheetView workbookViewId="0">
      <selection activeCell="I18" sqref="I18"/>
    </sheetView>
  </sheetViews>
  <sheetFormatPr baseColWidth="10" defaultColWidth="9.140625" defaultRowHeight="15" x14ac:dyDescent="0.25"/>
  <cols>
    <col min="1" max="1" width="22.28515625" bestFit="1" customWidth="1"/>
    <col min="2" max="2" width="16.5703125" bestFit="1" customWidth="1"/>
    <col min="3" max="3" width="22" bestFit="1" customWidth="1"/>
    <col min="4" max="4" width="28.140625" bestFit="1" customWidth="1"/>
    <col min="5" max="5" width="22.85546875" bestFit="1" customWidth="1"/>
    <col min="7" max="7" width="17.85546875" bestFit="1" customWidth="1"/>
    <col min="8" max="8" width="9.42578125" bestFit="1" customWidth="1"/>
  </cols>
  <sheetData>
    <row r="1" spans="1:9" x14ac:dyDescent="0.25">
      <c r="A1" s="208" t="s">
        <v>179</v>
      </c>
      <c r="B1" s="209"/>
      <c r="C1" s="209"/>
      <c r="D1" s="209"/>
      <c r="E1" s="210"/>
      <c r="F1" s="131"/>
      <c r="G1" s="211" t="s">
        <v>180</v>
      </c>
      <c r="H1" s="211"/>
    </row>
    <row r="2" spans="1:9" x14ac:dyDescent="0.25">
      <c r="A2" s="208" t="s">
        <v>181</v>
      </c>
      <c r="B2" s="210"/>
      <c r="C2" s="132" t="s">
        <v>182</v>
      </c>
      <c r="D2" s="132" t="s">
        <v>183</v>
      </c>
      <c r="E2" s="132" t="s">
        <v>184</v>
      </c>
      <c r="F2" s="131"/>
      <c r="G2" s="131" t="s">
        <v>185</v>
      </c>
      <c r="H2" s="131" t="s">
        <v>186</v>
      </c>
    </row>
    <row r="3" spans="1:9" x14ac:dyDescent="0.25">
      <c r="A3" s="133" t="s">
        <v>187</v>
      </c>
      <c r="B3" s="132" t="s">
        <v>188</v>
      </c>
      <c r="C3" s="132" t="s">
        <v>188</v>
      </c>
      <c r="D3" s="132" t="s">
        <v>188</v>
      </c>
      <c r="E3" s="132" t="s">
        <v>188</v>
      </c>
      <c r="F3" s="131"/>
      <c r="G3" s="131" t="s">
        <v>189</v>
      </c>
      <c r="H3" s="131">
        <v>335.08199999999999</v>
      </c>
    </row>
    <row r="4" spans="1:9" x14ac:dyDescent="0.25">
      <c r="A4" s="133" t="s">
        <v>190</v>
      </c>
      <c r="B4" s="132" t="s">
        <v>188</v>
      </c>
      <c r="C4" s="132" t="s">
        <v>188</v>
      </c>
      <c r="D4" s="132" t="s">
        <v>188</v>
      </c>
      <c r="E4" s="132" t="s">
        <v>188</v>
      </c>
      <c r="F4" s="131"/>
      <c r="G4" s="131" t="s">
        <v>191</v>
      </c>
      <c r="H4" s="131">
        <v>282.91199999999998</v>
      </c>
    </row>
    <row r="5" spans="1:9" x14ac:dyDescent="0.25">
      <c r="A5" s="133" t="s">
        <v>192</v>
      </c>
      <c r="B5" s="132" t="s">
        <v>188</v>
      </c>
      <c r="C5" s="132" t="s">
        <v>188</v>
      </c>
      <c r="D5" s="132" t="s">
        <v>188</v>
      </c>
      <c r="E5" s="132" t="s">
        <v>188</v>
      </c>
      <c r="F5" s="131"/>
      <c r="G5" s="131" t="s">
        <v>193</v>
      </c>
      <c r="H5" s="131">
        <v>296.27300000000002</v>
      </c>
    </row>
    <row r="6" spans="1:9" x14ac:dyDescent="0.25">
      <c r="A6" s="133" t="s">
        <v>194</v>
      </c>
      <c r="B6" s="132" t="s">
        <v>188</v>
      </c>
      <c r="C6" s="132">
        <v>0</v>
      </c>
      <c r="D6" s="132">
        <v>0</v>
      </c>
      <c r="E6" s="132">
        <v>0</v>
      </c>
      <c r="F6" s="131"/>
      <c r="G6" s="131" t="s">
        <v>195</v>
      </c>
      <c r="H6" s="131"/>
    </row>
    <row r="7" spans="1:9" x14ac:dyDescent="0.25">
      <c r="A7" s="131"/>
      <c r="B7" s="131"/>
      <c r="C7" s="131"/>
      <c r="D7" s="131"/>
      <c r="E7" s="131"/>
      <c r="F7" s="131"/>
      <c r="G7" s="131"/>
      <c r="H7" s="131"/>
    </row>
    <row r="8" spans="1:9" x14ac:dyDescent="0.25">
      <c r="A8" s="131"/>
      <c r="B8" s="131"/>
      <c r="C8" s="131"/>
      <c r="D8" s="131"/>
      <c r="E8" s="131"/>
      <c r="F8" s="131"/>
      <c r="G8" s="131"/>
      <c r="H8" s="131"/>
    </row>
    <row r="9" spans="1:9" x14ac:dyDescent="0.25">
      <c r="A9" s="134" t="s">
        <v>196</v>
      </c>
      <c r="B9" s="212" t="s">
        <v>197</v>
      </c>
      <c r="C9" s="213"/>
      <c r="D9" s="131"/>
      <c r="E9" s="131"/>
      <c r="F9" s="131"/>
      <c r="G9" s="131"/>
      <c r="H9" s="131"/>
    </row>
    <row r="10" spans="1:9" x14ac:dyDescent="0.25">
      <c r="A10" s="135" t="s">
        <v>198</v>
      </c>
      <c r="B10" s="132" t="s">
        <v>199</v>
      </c>
      <c r="C10" s="136" t="s">
        <v>200</v>
      </c>
      <c r="D10" s="131"/>
      <c r="E10" s="131"/>
      <c r="F10" s="131"/>
      <c r="G10" s="131"/>
      <c r="H10" s="131"/>
    </row>
    <row r="11" spans="1:9" x14ac:dyDescent="0.25">
      <c r="A11" s="137">
        <v>0</v>
      </c>
      <c r="B11" s="138" t="s">
        <v>188</v>
      </c>
      <c r="C11" s="139" t="s">
        <v>188</v>
      </c>
      <c r="D11" s="131"/>
      <c r="E11" s="131"/>
      <c r="F11" s="131"/>
      <c r="G11" s="131"/>
      <c r="H11" s="131"/>
    </row>
    <row r="12" spans="1:9" x14ac:dyDescent="0.25">
      <c r="A12" s="131"/>
      <c r="B12" s="131"/>
      <c r="C12" s="131"/>
      <c r="D12" s="131"/>
      <c r="E12" s="131"/>
      <c r="F12" s="131"/>
      <c r="G12" s="131"/>
      <c r="H12" s="131"/>
    </row>
    <row r="16" spans="1:9" x14ac:dyDescent="0.25">
      <c r="I16">
        <v>13368000</v>
      </c>
    </row>
    <row r="17" spans="9:9" x14ac:dyDescent="0.25">
      <c r="I17">
        <v>39.6</v>
      </c>
    </row>
    <row r="18" spans="9:9" x14ac:dyDescent="0.25">
      <c r="I18">
        <f>+I16/I17</f>
        <v>337575.75757575757</v>
      </c>
    </row>
  </sheetData>
  <mergeCells count="4">
    <mergeCell ref="A1:E1"/>
    <mergeCell ref="G1:H1"/>
    <mergeCell ref="A2:B2"/>
    <mergeCell ref="B9:C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FD944-D260-4E27-8199-157A2E53F35B}">
  <dimension ref="B1:N17"/>
  <sheetViews>
    <sheetView workbookViewId="0">
      <selection activeCell="C3" sqref="C3:I3"/>
    </sheetView>
  </sheetViews>
  <sheetFormatPr baseColWidth="10" defaultColWidth="9.140625" defaultRowHeight="15" x14ac:dyDescent="0.25"/>
  <cols>
    <col min="2" max="2" width="9.140625" hidden="1" customWidth="1"/>
    <col min="3" max="3" width="28.140625" bestFit="1" customWidth="1"/>
    <col min="4" max="4" width="5.140625" bestFit="1" customWidth="1"/>
    <col min="5" max="5" width="16.140625" bestFit="1" customWidth="1"/>
    <col min="6" max="6" width="3.28515625" hidden="1" customWidth="1"/>
    <col min="7" max="7" width="25.42578125" bestFit="1" customWidth="1"/>
    <col min="8" max="8" width="5.140625" bestFit="1" customWidth="1"/>
    <col min="9" max="9" width="16.140625" bestFit="1" customWidth="1"/>
  </cols>
  <sheetData>
    <row r="1" spans="2:14" x14ac:dyDescent="0.25">
      <c r="B1" s="214" t="s">
        <v>201</v>
      </c>
      <c r="C1" s="215"/>
      <c r="D1" s="215"/>
      <c r="E1" s="215"/>
      <c r="F1" s="215"/>
      <c r="G1" s="215"/>
      <c r="H1" s="215"/>
      <c r="I1" s="216"/>
      <c r="J1" s="131"/>
      <c r="K1" s="131"/>
      <c r="L1" s="131"/>
      <c r="M1" s="131"/>
      <c r="N1" s="131"/>
    </row>
    <row r="2" spans="2:14" x14ac:dyDescent="0.25">
      <c r="B2" s="217" t="s">
        <v>202</v>
      </c>
      <c r="C2" s="218"/>
      <c r="D2" s="218"/>
      <c r="E2" s="218"/>
      <c r="F2" s="218"/>
      <c r="G2" s="218"/>
      <c r="H2" s="218"/>
      <c r="I2" s="219"/>
      <c r="J2" s="131"/>
      <c r="K2" s="131"/>
      <c r="L2" s="131"/>
      <c r="M2" s="131"/>
      <c r="N2" s="131"/>
    </row>
    <row r="3" spans="2:14" ht="18.75" x14ac:dyDescent="0.3">
      <c r="B3" s="171"/>
      <c r="C3" s="220" t="s">
        <v>203</v>
      </c>
      <c r="D3" s="220"/>
      <c r="E3" s="220"/>
      <c r="F3" s="220"/>
      <c r="G3" s="220"/>
      <c r="H3" s="220"/>
      <c r="I3" s="221"/>
      <c r="J3" s="131"/>
      <c r="K3" s="131"/>
      <c r="L3" s="131"/>
      <c r="M3" s="131"/>
      <c r="N3" s="131"/>
    </row>
    <row r="4" spans="2:14" x14ac:dyDescent="0.25">
      <c r="B4" s="140" t="s">
        <v>188</v>
      </c>
      <c r="C4" s="141" t="s">
        <v>204</v>
      </c>
      <c r="D4" s="142">
        <v>0.45</v>
      </c>
      <c r="E4" s="143" t="s">
        <v>205</v>
      </c>
      <c r="F4" s="144" t="s">
        <v>188</v>
      </c>
      <c r="G4" s="144" t="s">
        <v>206</v>
      </c>
      <c r="H4" s="145">
        <v>0.55000000000000004</v>
      </c>
      <c r="I4" s="146" t="s">
        <v>207</v>
      </c>
      <c r="J4" s="131"/>
      <c r="K4" s="131"/>
      <c r="L4" s="131"/>
      <c r="M4" s="131"/>
      <c r="N4" s="131"/>
    </row>
    <row r="5" spans="2:14" x14ac:dyDescent="0.25">
      <c r="B5" s="147">
        <v>52.5</v>
      </c>
      <c r="C5" s="148" t="s">
        <v>208</v>
      </c>
      <c r="D5" s="148">
        <v>23.6</v>
      </c>
      <c r="E5" s="136" t="s">
        <v>209</v>
      </c>
      <c r="F5" s="149">
        <v>50</v>
      </c>
      <c r="G5" s="149" t="s">
        <v>210</v>
      </c>
      <c r="H5" s="149">
        <v>27.5</v>
      </c>
      <c r="I5" s="136" t="s">
        <v>211</v>
      </c>
      <c r="J5" s="131"/>
      <c r="K5" s="131"/>
      <c r="L5" s="131"/>
      <c r="M5" s="131"/>
      <c r="N5" s="131"/>
    </row>
    <row r="6" spans="2:14" x14ac:dyDescent="0.25">
      <c r="B6" s="140">
        <v>16.5</v>
      </c>
      <c r="C6" s="141" t="s">
        <v>212</v>
      </c>
      <c r="D6" s="141">
        <v>7.43</v>
      </c>
      <c r="E6" s="136" t="s">
        <v>213</v>
      </c>
      <c r="F6" s="144">
        <v>22</v>
      </c>
      <c r="G6" s="144" t="s">
        <v>214</v>
      </c>
      <c r="H6" s="144">
        <v>12.1</v>
      </c>
      <c r="I6" s="136" t="s">
        <v>215</v>
      </c>
      <c r="J6" s="131"/>
      <c r="K6" s="131"/>
      <c r="L6" s="131"/>
      <c r="M6" s="131"/>
      <c r="N6" s="131"/>
    </row>
    <row r="7" spans="2:14" x14ac:dyDescent="0.25">
      <c r="B7" s="150">
        <v>2.5</v>
      </c>
      <c r="C7" s="151" t="s">
        <v>216</v>
      </c>
      <c r="D7" s="151">
        <v>1.1299999999999999</v>
      </c>
      <c r="E7" s="136" t="s">
        <v>217</v>
      </c>
      <c r="F7" s="152">
        <v>20</v>
      </c>
      <c r="G7" s="152" t="s">
        <v>218</v>
      </c>
      <c r="H7" s="152">
        <v>11</v>
      </c>
      <c r="I7" s="136" t="s">
        <v>219</v>
      </c>
      <c r="J7" s="131"/>
      <c r="K7" s="131"/>
      <c r="L7" s="131"/>
      <c r="M7" s="131"/>
      <c r="N7" s="131"/>
    </row>
    <row r="8" spans="2:14" x14ac:dyDescent="0.25">
      <c r="B8" s="153">
        <v>2.5</v>
      </c>
      <c r="C8" s="154" t="s">
        <v>220</v>
      </c>
      <c r="D8" s="154">
        <v>1.1299999999999999</v>
      </c>
      <c r="E8" s="136" t="s">
        <v>217</v>
      </c>
      <c r="F8" s="155">
        <v>8</v>
      </c>
      <c r="G8" s="155" t="s">
        <v>221</v>
      </c>
      <c r="H8" s="155">
        <v>4.4000000000000004</v>
      </c>
      <c r="I8" s="136" t="s">
        <v>222</v>
      </c>
      <c r="J8" s="131"/>
      <c r="K8" s="131"/>
      <c r="L8" s="131"/>
      <c r="M8" s="131"/>
      <c r="N8" s="131"/>
    </row>
    <row r="9" spans="2:14" x14ac:dyDescent="0.25">
      <c r="B9" s="156">
        <v>2</v>
      </c>
      <c r="C9" s="157" t="s">
        <v>223</v>
      </c>
      <c r="D9" s="157">
        <v>0.9</v>
      </c>
      <c r="E9" s="158" t="s">
        <v>224</v>
      </c>
      <c r="F9" s="131"/>
      <c r="G9" s="131"/>
      <c r="H9" s="131"/>
      <c r="I9" s="131"/>
      <c r="J9" s="131"/>
      <c r="K9" s="131"/>
      <c r="L9" s="131"/>
      <c r="M9" s="131"/>
      <c r="N9" s="131"/>
    </row>
    <row r="10" spans="2:14" x14ac:dyDescent="0.25">
      <c r="B10" s="159">
        <v>24</v>
      </c>
      <c r="C10" s="160" t="s">
        <v>225</v>
      </c>
      <c r="D10" s="161">
        <v>10.8</v>
      </c>
      <c r="E10" s="162" t="s">
        <v>226</v>
      </c>
      <c r="F10" s="131"/>
      <c r="G10" s="131"/>
      <c r="H10" s="131"/>
      <c r="I10" s="131"/>
      <c r="J10" s="131"/>
      <c r="K10" s="131"/>
      <c r="L10" s="131"/>
      <c r="M10" s="131"/>
      <c r="N10" s="131"/>
    </row>
    <row r="11" spans="2:14" x14ac:dyDescent="0.25">
      <c r="B11" s="163">
        <v>42</v>
      </c>
      <c r="C11" s="164" t="s">
        <v>227</v>
      </c>
      <c r="D11" s="164">
        <v>4.54</v>
      </c>
      <c r="E11" s="136" t="s">
        <v>228</v>
      </c>
      <c r="F11" s="131"/>
      <c r="G11" s="131"/>
      <c r="H11" s="131"/>
      <c r="I11" s="131"/>
      <c r="J11" s="131"/>
      <c r="K11" s="131"/>
      <c r="L11" s="131"/>
      <c r="M11" s="131"/>
      <c r="N11" s="131"/>
    </row>
    <row r="12" spans="2:14" x14ac:dyDescent="0.25">
      <c r="B12" s="165">
        <v>24</v>
      </c>
      <c r="C12" s="166" t="s">
        <v>229</v>
      </c>
      <c r="D12" s="166">
        <v>2.59</v>
      </c>
      <c r="E12" s="136" t="s">
        <v>230</v>
      </c>
      <c r="F12" s="131"/>
      <c r="G12" s="131"/>
      <c r="H12" s="131"/>
      <c r="I12" s="131"/>
      <c r="J12" s="131"/>
      <c r="K12" s="131"/>
      <c r="L12" s="131"/>
      <c r="M12" s="131"/>
      <c r="N12" s="131"/>
    </row>
    <row r="13" spans="2:14" x14ac:dyDescent="0.25">
      <c r="B13" s="167">
        <v>21</v>
      </c>
      <c r="C13" s="168" t="s">
        <v>231</v>
      </c>
      <c r="D13" s="168">
        <v>2.27</v>
      </c>
      <c r="E13" s="136" t="s">
        <v>232</v>
      </c>
      <c r="F13" s="131"/>
      <c r="G13" s="131"/>
      <c r="H13" s="131"/>
      <c r="J13" s="131"/>
      <c r="K13" s="131"/>
      <c r="L13" s="131"/>
      <c r="M13" s="131"/>
      <c r="N13" s="131"/>
    </row>
    <row r="14" spans="2:14" x14ac:dyDescent="0.25">
      <c r="B14" s="169">
        <v>13</v>
      </c>
      <c r="C14" s="170" t="s">
        <v>233</v>
      </c>
      <c r="D14" s="170">
        <v>1.4</v>
      </c>
      <c r="E14" s="136" t="s">
        <v>234</v>
      </c>
      <c r="F14" s="131"/>
      <c r="G14" s="131"/>
      <c r="H14" s="131"/>
      <c r="I14" s="131"/>
      <c r="J14" s="131"/>
      <c r="K14" s="131"/>
      <c r="L14" s="131"/>
      <c r="M14" s="131"/>
      <c r="N14" s="131"/>
    </row>
    <row r="15" spans="2:14" x14ac:dyDescent="0.2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</row>
    <row r="16" spans="2:14" x14ac:dyDescent="0.25">
      <c r="B16" s="131"/>
      <c r="C16" s="131"/>
      <c r="D16" s="131"/>
      <c r="E16" s="131"/>
      <c r="F16" s="131"/>
      <c r="G16" s="131"/>
      <c r="H16" s="131"/>
      <c r="I16" s="131">
        <v>4200</v>
      </c>
      <c r="J16" s="131" t="s">
        <v>235</v>
      </c>
      <c r="K16" s="131"/>
      <c r="L16" s="131"/>
      <c r="M16" s="131"/>
      <c r="N16" s="131"/>
    </row>
    <row r="17" spans="2:14" x14ac:dyDescent="0.25">
      <c r="B17" s="131"/>
      <c r="C17" s="131"/>
      <c r="D17" s="131"/>
      <c r="E17" s="131"/>
      <c r="F17" s="131"/>
      <c r="G17" s="131"/>
      <c r="H17" s="131"/>
      <c r="I17" s="131"/>
      <c r="J17" s="131" t="s">
        <v>236</v>
      </c>
      <c r="K17" s="131"/>
      <c r="L17" s="131"/>
      <c r="M17" s="131"/>
      <c r="N17" s="131"/>
    </row>
  </sheetData>
  <mergeCells count="3">
    <mergeCell ref="B1:I1"/>
    <mergeCell ref="B2:I2"/>
    <mergeCell ref="C3:I3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ED328836D72041B07D1063C2540314" ma:contentTypeVersion="15" ma:contentTypeDescription="Crear nuevo documento." ma:contentTypeScope="" ma:versionID="5dac6e0245c3b77e5e16edcf8b770b0d">
  <xsd:schema xmlns:xsd="http://www.w3.org/2001/XMLSchema" xmlns:xs="http://www.w3.org/2001/XMLSchema" xmlns:p="http://schemas.microsoft.com/office/2006/metadata/properties" xmlns:ns2="c2ab5018-ffa5-4a32-a34d-47072c8ffdd9" xmlns:ns3="b32f7fe9-73c2-4c9a-9468-9bb8969fa5db" targetNamespace="http://schemas.microsoft.com/office/2006/metadata/properties" ma:root="true" ma:fieldsID="7b5e969cc8da724fee5a7a5fcccc534d" ns2:_="" ns3:_="">
    <xsd:import namespace="c2ab5018-ffa5-4a32-a34d-47072c8ffdd9"/>
    <xsd:import namespace="b32f7fe9-73c2-4c9a-9468-9bb8969fa5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ab5018-ffa5-4a32-a34d-47072c8ffd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91714cc3-0b58-4b86-a2d5-5223db0584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f7fe9-73c2-4c9a-9468-9bb8969fa5d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1829d204-e378-477c-ac9f-171645929501}" ma:internalName="TaxCatchAll" ma:showField="CatchAllData" ma:web="b32f7fe9-73c2-4c9a-9468-9bb8969fa5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ab5018-ffa5-4a32-a34d-47072c8ffdd9">
      <Terms xmlns="http://schemas.microsoft.com/office/infopath/2007/PartnerControls"/>
    </lcf76f155ced4ddcb4097134ff3c332f>
    <TaxCatchAll xmlns="b32f7fe9-73c2-4c9a-9468-9bb8969fa5db" xsi:nil="true"/>
  </documentManagement>
</p:properties>
</file>

<file path=customXml/itemProps1.xml><?xml version="1.0" encoding="utf-8"?>
<ds:datastoreItem xmlns:ds="http://schemas.openxmlformats.org/officeDocument/2006/customXml" ds:itemID="{37EEB6E4-C130-4492-ACC7-F2813A250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ab5018-ffa5-4a32-a34d-47072c8ffdd9"/>
    <ds:schemaRef ds:uri="b32f7fe9-73c2-4c9a-9468-9bb8969fa5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ABBC83-0FE9-4EA9-8320-DDE8831269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7B7BF4-D1E7-49A8-B152-CE8922579F32}">
  <ds:schemaRefs>
    <ds:schemaRef ds:uri="http://schemas.microsoft.com/office/2006/metadata/properties"/>
    <ds:schemaRef ds:uri="http://schemas.microsoft.com/office/infopath/2007/PartnerControls"/>
    <ds:schemaRef ds:uri="c2ab5018-ffa5-4a32-a34d-47072c8ffdd9"/>
    <ds:schemaRef ds:uri="b32f7fe9-73c2-4c9a-9468-9bb8969fa5db"/>
  </ds:schemaRefs>
</ds:datastoreItem>
</file>

<file path=docMetadata/LabelInfo.xml><?xml version="1.0" encoding="utf-8"?>
<clbl:labelList xmlns:clbl="http://schemas.microsoft.com/office/2020/mipLabelMetadata">
  <clbl:label id="{ae525757-89ba-4d30-a2f7-49796ef8c604}" enabled="0" method="" siteId="{ae525757-89ba-4d30-a2f7-49796ef8c60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DATOS </vt:lpstr>
      <vt:lpstr>Capacidad</vt:lpstr>
      <vt:lpstr>CTO SFV</vt:lpstr>
      <vt:lpstr>LCOH</vt:lpstr>
      <vt:lpstr>ELECTROLIZADOR</vt:lpstr>
      <vt:lpstr>Flujo de caja</vt:lpstr>
      <vt:lpstr>TIR todos</vt:lpstr>
      <vt:lpstr>EL200N</vt:lpstr>
      <vt:lpstr>EL400N </vt:lpstr>
      <vt:lpstr>EL600N </vt:lpstr>
      <vt:lpstr>EL100N-EL200N</vt:lpstr>
      <vt:lpstr>LCOH Resultados </vt:lpstr>
      <vt:lpstr>EmisionesCO2</vt:lpstr>
      <vt:lpstr>DesgloseCostos EZ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Miguel Alexei Terraza velásquez</cp:lastModifiedBy>
  <cp:revision/>
  <dcterms:created xsi:type="dcterms:W3CDTF">2024-10-09T01:51:39Z</dcterms:created>
  <dcterms:modified xsi:type="dcterms:W3CDTF">2024-11-05T03:48:20Z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0x0101008DED328836D72041B07D1063C2540314</vt:lpwstr>
  </property>
  <property fmtid="{D5CDD505-2E9C-101B-9397-08002B2CF9AE}" pid="3" name="MediaServiceImageTags">
    <vt:lpwstr/>
  </property>
</Properties>
</file>