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3040" windowHeight="9192" tabRatio="943" firstSheet="7" activeTab="15"/>
  </bookViews>
  <sheets>
    <sheet name="SloPri" sheetId="1" r:id="rId1"/>
    <sheet name="SloPub" sheetId="2" r:id="rId2"/>
    <sheet name="VrSlo" sheetId="15" r:id="rId3"/>
    <sheet name="AportSlo" sheetId="45" r:id="rId4"/>
    <sheet name="EpEXvsEpPR" sheetId="27" r:id="rId5"/>
    <sheet name="PartSloPyP" sheetId="20" r:id="rId6"/>
    <sheet name="CabxUso" sheetId="44" r:id="rId7"/>
    <sheet name="0Model" sheetId="8" r:id="rId8"/>
    <sheet name="1Aprov" sheetId="28" r:id="rId9"/>
    <sheet name="2Res" sheetId="29" r:id="rId10"/>
    <sheet name="3Vtas" sheetId="30" r:id="rId11"/>
    <sheet name="4Cd" sheetId="33" r:id="rId12"/>
    <sheet name="05Carg" sheetId="35" r:id="rId13"/>
    <sheet name="6Ci" sheetId="36" r:id="rId14"/>
    <sheet name="7Util" sheetId="37" r:id="rId15"/>
    <sheet name="8Bal" sheetId="38" r:id="rId16"/>
    <sheet name="9RepSegMod" sheetId="48" r:id="rId17"/>
    <sheet name="9RepPartVtas" sheetId="39" r:id="rId18"/>
    <sheet name="10Equiv" sheetId="47" r:id="rId19"/>
    <sheet name="CalcEquip" sheetId="46" r:id="rId20"/>
    <sheet name="CalcViv" sheetId="18" r:id="rId21"/>
    <sheet name="CalcCyST1y2" sheetId="54" r:id="rId22"/>
    <sheet name="CalcCyST3" sheetId="19" r:id="rId23"/>
    <sheet name="CalcDOTpriv" sheetId="51" r:id="rId24"/>
    <sheet name="CalcParq" sheetId="21" r:id="rId25"/>
  </sheets>
  <externalReferences>
    <externalReference r:id="rId26"/>
  </externalReferences>
  <definedNames>
    <definedName name="_xlchart.v1.0" hidden="1">('3Vtas'!$A$17:$A$18,'3Vtas'!$A$20:$A$23,'3Vtas'!$A$25)</definedName>
    <definedName name="_xlchart.v1.1" hidden="1">('3Vtas'!$E$17:$E$18,'3Vtas'!$E$20:$E$23,'3Vtas'!$E$25)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38" l="1"/>
  <c r="E16" i="48" l="1"/>
  <c r="C16" i="48"/>
  <c r="B60" i="35"/>
  <c r="J20" i="27"/>
  <c r="C4" i="46" l="1"/>
  <c r="C7" i="46"/>
  <c r="A7" i="46" s="1"/>
  <c r="C6" i="46"/>
  <c r="A8" i="46" s="1"/>
  <c r="C4" i="21"/>
  <c r="J18" i="27"/>
  <c r="C12" i="8"/>
  <c r="C11" i="8"/>
  <c r="E15" i="48"/>
  <c r="D15" i="48"/>
  <c r="C15" i="48"/>
  <c r="K4" i="1"/>
  <c r="I4" i="1"/>
  <c r="E10" i="20"/>
  <c r="G14" i="20"/>
  <c r="B53" i="29" s="1"/>
  <c r="G19" i="20"/>
  <c r="E19" i="20"/>
  <c r="G18" i="20"/>
  <c r="E18" i="20"/>
  <c r="E8" i="20"/>
  <c r="M5" i="1"/>
  <c r="M6" i="1"/>
  <c r="M7" i="1"/>
  <c r="M8" i="1"/>
  <c r="M9" i="1"/>
  <c r="M10" i="1"/>
  <c r="M11" i="1"/>
  <c r="M12" i="1"/>
  <c r="M4" i="1"/>
  <c r="F17" i="2"/>
  <c r="J19" i="27"/>
  <c r="A14" i="37"/>
  <c r="C66" i="1"/>
  <c r="C67" i="1"/>
  <c r="C68" i="1"/>
  <c r="C69" i="1"/>
  <c r="C65" i="1"/>
  <c r="C70" i="1"/>
  <c r="B70" i="1"/>
  <c r="B59" i="1"/>
  <c r="C18" i="35"/>
  <c r="D32" i="45"/>
  <c r="B57" i="29"/>
  <c r="B46" i="29"/>
  <c r="B45" i="29"/>
  <c r="B44" i="29"/>
  <c r="B19" i="29"/>
  <c r="B11" i="29"/>
  <c r="B10" i="29"/>
  <c r="B8" i="29"/>
  <c r="B7" i="29"/>
  <c r="B6" i="29"/>
  <c r="B24" i="30"/>
  <c r="E12" i="15"/>
  <c r="B2" i="2"/>
  <c r="B17" i="2"/>
  <c r="B4" i="2"/>
  <c r="C11" i="37"/>
  <c r="C24" i="37" s="1"/>
  <c r="C25" i="30"/>
  <c r="C24" i="30" s="1"/>
  <c r="D9" i="30"/>
  <c r="C44" i="33"/>
  <c r="C43" i="33" s="1"/>
  <c r="B44" i="33"/>
  <c r="B43" i="33" s="1"/>
  <c r="D18" i="28"/>
  <c r="C42" i="33"/>
  <c r="G34" i="19"/>
  <c r="H34" i="19"/>
  <c r="B42" i="33"/>
  <c r="C39" i="33"/>
  <c r="C41" i="33"/>
  <c r="B41" i="33"/>
  <c r="C40" i="33"/>
  <c r="B40" i="33"/>
  <c r="B39" i="33"/>
  <c r="C29" i="33"/>
  <c r="C27" i="33"/>
  <c r="B27" i="33"/>
  <c r="B59" i="33" s="1"/>
  <c r="C26" i="33"/>
  <c r="B26" i="33"/>
  <c r="C25" i="33"/>
  <c r="B25" i="33"/>
  <c r="C24" i="33"/>
  <c r="B24" i="33"/>
  <c r="B18" i="35"/>
  <c r="C23" i="30"/>
  <c r="D10" i="37" s="1"/>
  <c r="D23" i="37" s="1"/>
  <c r="B23" i="30"/>
  <c r="C10" i="37" s="1"/>
  <c r="C23" i="37" s="1"/>
  <c r="C22" i="30"/>
  <c r="D9" i="37" s="1"/>
  <c r="D22" i="37" s="1"/>
  <c r="B22" i="30"/>
  <c r="C9" i="37" s="1"/>
  <c r="C22" i="37" s="1"/>
  <c r="C20" i="30"/>
  <c r="D7" i="37" s="1"/>
  <c r="D20" i="37" s="1"/>
  <c r="B20" i="30"/>
  <c r="C7" i="37" s="1"/>
  <c r="C20" i="37" s="1"/>
  <c r="F6" i="30"/>
  <c r="F5" i="30"/>
  <c r="E6" i="30"/>
  <c r="C21" i="30" s="1"/>
  <c r="D6" i="30"/>
  <c r="C5" i="30"/>
  <c r="C4" i="30"/>
  <c r="F27" i="28"/>
  <c r="E27" i="28"/>
  <c r="D27" i="28"/>
  <c r="C27" i="28"/>
  <c r="E16" i="28"/>
  <c r="D16" i="28"/>
  <c r="C16" i="28"/>
  <c r="E7" i="28"/>
  <c r="D6" i="28"/>
  <c r="C6" i="28"/>
  <c r="C9" i="46" l="1"/>
  <c r="A9" i="46" s="1"/>
  <c r="E11" i="20"/>
  <c r="G11" i="20"/>
  <c r="B54" i="29" s="1"/>
  <c r="C59" i="33"/>
  <c r="B57" i="33"/>
  <c r="C56" i="33"/>
  <c r="C57" i="33"/>
  <c r="B56" i="33"/>
  <c r="C58" i="33"/>
  <c r="B58" i="33"/>
  <c r="B16" i="29"/>
  <c r="C19" i="30"/>
  <c r="D8" i="37"/>
  <c r="D21" i="37" s="1"/>
  <c r="E22" i="37"/>
  <c r="E20" i="37"/>
  <c r="D11" i="37"/>
  <c r="D24" i="37" s="1"/>
  <c r="E24" i="37" s="1"/>
  <c r="E23" i="37"/>
  <c r="D24" i="30"/>
  <c r="D20" i="30"/>
  <c r="B21" i="30"/>
  <c r="C6" i="30"/>
  <c r="D59" i="33"/>
  <c r="B38" i="33"/>
  <c r="D27" i="33"/>
  <c r="C23" i="33"/>
  <c r="C38" i="33"/>
  <c r="D42" i="33"/>
  <c r="B23" i="33"/>
  <c r="D18" i="35"/>
  <c r="D19" i="28"/>
  <c r="E18" i="28"/>
  <c r="D17" i="28"/>
  <c r="C17" i="28"/>
  <c r="D7" i="28"/>
  <c r="C7" i="28"/>
  <c r="C19" i="28"/>
  <c r="G6" i="51"/>
  <c r="H6" i="51"/>
  <c r="D4" i="51"/>
  <c r="H4" i="51" s="1"/>
  <c r="G4" i="51"/>
  <c r="C18" i="28"/>
  <c r="C15" i="28"/>
  <c r="D15" i="28"/>
  <c r="D5" i="28"/>
  <c r="C5" i="28"/>
  <c r="E5" i="28" s="1"/>
  <c r="D8" i="28"/>
  <c r="C8" i="28"/>
  <c r="H33" i="19"/>
  <c r="G33" i="19"/>
  <c r="H6" i="19"/>
  <c r="G6" i="19"/>
  <c r="H15" i="19"/>
  <c r="G15" i="19"/>
  <c r="D33" i="19"/>
  <c r="D13" i="19"/>
  <c r="H13" i="19" s="1"/>
  <c r="G13" i="19"/>
  <c r="E24" i="54"/>
  <c r="C22" i="54"/>
  <c r="D22" i="54" s="1"/>
  <c r="C20" i="54"/>
  <c r="E19" i="54"/>
  <c r="E25" i="54" s="1"/>
  <c r="C17" i="54"/>
  <c r="C18" i="54" s="1"/>
  <c r="D18" i="54" s="1"/>
  <c r="C15" i="54"/>
  <c r="E9" i="54"/>
  <c r="C8" i="54"/>
  <c r="D8" i="54" s="1"/>
  <c r="D7" i="54"/>
  <c r="E6" i="54"/>
  <c r="C5" i="54"/>
  <c r="D5" i="54" s="1"/>
  <c r="D4" i="54"/>
  <c r="G36" i="20"/>
  <c r="C36" i="20" s="1"/>
  <c r="D30" i="45"/>
  <c r="D33" i="45" s="1"/>
  <c r="C42" i="1"/>
  <c r="G37" i="1"/>
  <c r="C41" i="1"/>
  <c r="J5" i="1"/>
  <c r="J6" i="1"/>
  <c r="J7" i="1"/>
  <c r="J8" i="1"/>
  <c r="J9" i="1"/>
  <c r="J10" i="1"/>
  <c r="J11" i="1"/>
  <c r="J12" i="1"/>
  <c r="J4" i="1"/>
  <c r="F21" i="1" s="1"/>
  <c r="G21" i="1" s="1"/>
  <c r="E5" i="1"/>
  <c r="E6" i="1"/>
  <c r="E7" i="1"/>
  <c r="E8" i="1"/>
  <c r="E9" i="1"/>
  <c r="E10" i="1"/>
  <c r="E11" i="1"/>
  <c r="E12" i="1"/>
  <c r="E4" i="1"/>
  <c r="C5" i="1"/>
  <c r="C6" i="1"/>
  <c r="L6" i="1" s="1"/>
  <c r="C7" i="1"/>
  <c r="K7" i="1" s="1"/>
  <c r="L7" i="1" s="1"/>
  <c r="C8" i="1"/>
  <c r="I8" i="1" s="1"/>
  <c r="C9" i="1"/>
  <c r="L9" i="1" s="1"/>
  <c r="C10" i="1"/>
  <c r="H10" i="1" s="1"/>
  <c r="I10" i="1" s="1"/>
  <c r="C11" i="1"/>
  <c r="L11" i="1" s="1"/>
  <c r="C12" i="1"/>
  <c r="I12" i="1" s="1"/>
  <c r="C4" i="1"/>
  <c r="C28" i="15"/>
  <c r="C31" i="15"/>
  <c r="F31" i="15" s="1"/>
  <c r="D5" i="51"/>
  <c r="H5" i="51" s="1"/>
  <c r="G5" i="51"/>
  <c r="B17" i="35"/>
  <c r="C17" i="35"/>
  <c r="D15" i="38"/>
  <c r="C22" i="20"/>
  <c r="C20" i="20"/>
  <c r="B52" i="29"/>
  <c r="B14" i="29"/>
  <c r="B32" i="15"/>
  <c r="B31" i="15"/>
  <c r="C27" i="15"/>
  <c r="C20" i="15"/>
  <c r="C19" i="15"/>
  <c r="C18" i="15"/>
  <c r="B55" i="33" l="1"/>
  <c r="C55" i="33"/>
  <c r="D23" i="33"/>
  <c r="D22" i="20"/>
  <c r="H22" i="20" s="1"/>
  <c r="C9" i="44"/>
  <c r="D20" i="20"/>
  <c r="H20" i="20" s="1"/>
  <c r="C5" i="44"/>
  <c r="B14" i="35"/>
  <c r="E23" i="20"/>
  <c r="C14" i="35"/>
  <c r="G23" i="20"/>
  <c r="B19" i="30"/>
  <c r="C8" i="37"/>
  <c r="C47" i="1"/>
  <c r="C49" i="1" s="1"/>
  <c r="D49" i="1" s="1"/>
  <c r="K8" i="1"/>
  <c r="L8" i="1" s="1"/>
  <c r="D21" i="30"/>
  <c r="E8" i="28"/>
  <c r="C23" i="54"/>
  <c r="D23" i="54" s="1"/>
  <c r="E10" i="54"/>
  <c r="C21" i="54"/>
  <c r="D21" i="54" s="1"/>
  <c r="D20" i="54"/>
  <c r="D17" i="54"/>
  <c r="D15" i="54"/>
  <c r="C16" i="54"/>
  <c r="D16" i="54" s="1"/>
  <c r="F7" i="54"/>
  <c r="D9" i="54"/>
  <c r="C9" i="54"/>
  <c r="F4" i="54"/>
  <c r="C6" i="54"/>
  <c r="H36" i="20"/>
  <c r="F36" i="20"/>
  <c r="C19" i="20"/>
  <c r="C13" i="1"/>
  <c r="C48" i="1"/>
  <c r="C43" i="1"/>
  <c r="D43" i="1" s="1"/>
  <c r="I6" i="1"/>
  <c r="I5" i="1"/>
  <c r="L5" i="1"/>
  <c r="L12" i="1"/>
  <c r="I11" i="1"/>
  <c r="I7" i="1"/>
  <c r="H9" i="1"/>
  <c r="C21" i="15" s="1"/>
  <c r="L10" i="1"/>
  <c r="L4" i="1"/>
  <c r="C26" i="15"/>
  <c r="C24" i="15"/>
  <c r="C23" i="15"/>
  <c r="C30" i="15" l="1"/>
  <c r="K13" i="1"/>
  <c r="E25" i="20"/>
  <c r="E31" i="20"/>
  <c r="G25" i="20"/>
  <c r="G31" i="20"/>
  <c r="F20" i="20"/>
  <c r="G37" i="20"/>
  <c r="F22" i="20"/>
  <c r="D19" i="20"/>
  <c r="F19" i="20" s="1"/>
  <c r="C3" i="44"/>
  <c r="E37" i="20"/>
  <c r="D14" i="35"/>
  <c r="E8" i="37"/>
  <c r="C21" i="37"/>
  <c r="E21" i="37" s="1"/>
  <c r="D24" i="54"/>
  <c r="F20" i="54"/>
  <c r="C24" i="54"/>
  <c r="F15" i="54"/>
  <c r="F25" i="54" s="1"/>
  <c r="D19" i="54"/>
  <c r="D25" i="54" s="1"/>
  <c r="C19" i="54"/>
  <c r="C25" i="54" s="1"/>
  <c r="F10" i="54"/>
  <c r="C10" i="54"/>
  <c r="D6" i="54"/>
  <c r="D48" i="1"/>
  <c r="D47" i="1"/>
  <c r="D42" i="1"/>
  <c r="D41" i="1"/>
  <c r="H13" i="1"/>
  <c r="I9" i="1"/>
  <c r="G35" i="20"/>
  <c r="E35" i="20"/>
  <c r="B26" i="35"/>
  <c r="D26" i="35"/>
  <c r="C26" i="35"/>
  <c r="C46" i="33"/>
  <c r="C13" i="35"/>
  <c r="B13" i="35"/>
  <c r="F22" i="1"/>
  <c r="F23" i="1"/>
  <c r="F24" i="1"/>
  <c r="F25" i="1"/>
  <c r="F26" i="1"/>
  <c r="F27" i="1"/>
  <c r="F28" i="1"/>
  <c r="F29" i="1"/>
  <c r="D22" i="1"/>
  <c r="D23" i="1"/>
  <c r="D24" i="1"/>
  <c r="D25" i="1"/>
  <c r="D26" i="1"/>
  <c r="D27" i="1"/>
  <c r="D28" i="1"/>
  <c r="D29" i="1"/>
  <c r="D21" i="1"/>
  <c r="L6" i="15"/>
  <c r="M13" i="1" l="1"/>
  <c r="N13" i="1" s="1"/>
  <c r="L13" i="1"/>
  <c r="C37" i="20"/>
  <c r="H37" i="20" s="1"/>
  <c r="G30" i="20"/>
  <c r="D13" i="35"/>
  <c r="E6" i="28"/>
  <c r="F6" i="28"/>
  <c r="D10" i="54"/>
  <c r="G38" i="20"/>
  <c r="C35" i="20"/>
  <c r="H35" i="20" s="1"/>
  <c r="F37" i="20"/>
  <c r="E38" i="20"/>
  <c r="I13" i="1"/>
  <c r="G12" i="15"/>
  <c r="D12" i="15"/>
  <c r="H11" i="15"/>
  <c r="F11" i="15"/>
  <c r="I11" i="15" s="1"/>
  <c r="B11" i="15"/>
  <c r="H10" i="15"/>
  <c r="F10" i="15"/>
  <c r="B10" i="15"/>
  <c r="H9" i="15"/>
  <c r="F9" i="15"/>
  <c r="I9" i="15" s="1"/>
  <c r="B9" i="15"/>
  <c r="H8" i="15"/>
  <c r="F8" i="15"/>
  <c r="B8" i="15"/>
  <c r="C7" i="15"/>
  <c r="C12" i="15" s="1"/>
  <c r="B7" i="15"/>
  <c r="H6" i="15"/>
  <c r="F6" i="15"/>
  <c r="B6" i="15"/>
  <c r="H5" i="15"/>
  <c r="F5" i="15"/>
  <c r="I5" i="15" s="1"/>
  <c r="B5" i="15"/>
  <c r="H4" i="15"/>
  <c r="F4" i="15"/>
  <c r="I4" i="15" s="1"/>
  <c r="B4" i="15"/>
  <c r="H3" i="15"/>
  <c r="F3" i="15"/>
  <c r="B3" i="15"/>
  <c r="C6" i="27"/>
  <c r="C7" i="27"/>
  <c r="C9" i="27"/>
  <c r="M5" i="27" s="1"/>
  <c r="I18" i="45"/>
  <c r="I10" i="45"/>
  <c r="I5" i="45"/>
  <c r="D7" i="45"/>
  <c r="D23" i="45" s="1"/>
  <c r="D4" i="45"/>
  <c r="D22" i="45" s="1"/>
  <c r="C17" i="20"/>
  <c r="C21" i="20"/>
  <c r="D21" i="20" s="1"/>
  <c r="F21" i="20" s="1"/>
  <c r="D52" i="35"/>
  <c r="B7" i="35"/>
  <c r="C7" i="35"/>
  <c r="C9" i="30"/>
  <c r="B9" i="30" s="1"/>
  <c r="C8" i="30"/>
  <c r="B8" i="30" s="1"/>
  <c r="C7" i="30"/>
  <c r="B7" i="30" s="1"/>
  <c r="B5" i="30"/>
  <c r="B4" i="30"/>
  <c r="I21" i="27"/>
  <c r="A18" i="36"/>
  <c r="D9" i="38"/>
  <c r="E12" i="48" s="1"/>
  <c r="D24" i="35"/>
  <c r="C24" i="35"/>
  <c r="B24" i="35"/>
  <c r="C9" i="35"/>
  <c r="C10" i="35"/>
  <c r="C11" i="35"/>
  <c r="C12" i="35"/>
  <c r="B9" i="35"/>
  <c r="B10" i="35"/>
  <c r="B11" i="35"/>
  <c r="B8" i="35"/>
  <c r="C8" i="35"/>
  <c r="B62" i="33"/>
  <c r="B45" i="33"/>
  <c r="B60" i="29"/>
  <c r="B64" i="29"/>
  <c r="B22" i="29"/>
  <c r="B26" i="29"/>
  <c r="F30" i="28"/>
  <c r="F35" i="20" l="1"/>
  <c r="D35" i="20"/>
  <c r="C38" i="20"/>
  <c r="H38" i="20" s="1"/>
  <c r="D21" i="45"/>
  <c r="J17" i="27"/>
  <c r="D17" i="20"/>
  <c r="C7" i="44"/>
  <c r="C10" i="44"/>
  <c r="C6" i="35"/>
  <c r="C28" i="33"/>
  <c r="D28" i="33" s="1"/>
  <c r="D29" i="33"/>
  <c r="C45" i="33"/>
  <c r="D45" i="33" s="1"/>
  <c r="D46" i="33"/>
  <c r="I4" i="45"/>
  <c r="C20" i="38"/>
  <c r="C3" i="47"/>
  <c r="D21" i="35"/>
  <c r="B21" i="35"/>
  <c r="C21" i="35"/>
  <c r="I8" i="15"/>
  <c r="I6" i="15"/>
  <c r="I10" i="15"/>
  <c r="B12" i="15"/>
  <c r="F7" i="15"/>
  <c r="I3" i="15"/>
  <c r="H7" i="15"/>
  <c r="H12" i="15" s="1"/>
  <c r="C5" i="27"/>
  <c r="D3" i="45"/>
  <c r="E12" i="39"/>
  <c r="D17" i="35"/>
  <c r="D8" i="35"/>
  <c r="D11" i="35"/>
  <c r="D10" i="35"/>
  <c r="D9" i="35"/>
  <c r="C15" i="35"/>
  <c r="C63" i="33" l="1"/>
  <c r="D63" i="33" s="1"/>
  <c r="F38" i="20"/>
  <c r="B36" i="20"/>
  <c r="C3" i="27"/>
  <c r="M4" i="27"/>
  <c r="M3" i="27" s="1"/>
  <c r="I3" i="45"/>
  <c r="D25" i="45"/>
  <c r="I7" i="15"/>
  <c r="I12" i="15" s="1"/>
  <c r="F12" i="15"/>
  <c r="D3" i="47" s="1"/>
  <c r="I1" i="45"/>
  <c r="I17" i="45" s="1"/>
  <c r="I15" i="45" s="1"/>
  <c r="C62" i="33"/>
  <c r="D62" i="33" s="1"/>
  <c r="I5" i="27"/>
  <c r="N5" i="27" l="1"/>
  <c r="N3" i="27"/>
  <c r="N4" i="27"/>
  <c r="D24" i="45"/>
  <c r="D20" i="45" s="1"/>
  <c r="D29" i="45" s="1"/>
  <c r="D28" i="45" s="1"/>
  <c r="D34" i="45" s="1"/>
  <c r="I7" i="27"/>
  <c r="I8" i="27" s="1"/>
  <c r="I9" i="27"/>
  <c r="I10" i="27" s="1"/>
  <c r="D27" i="19" l="1"/>
  <c r="H27" i="19" s="1"/>
  <c r="G27" i="19"/>
  <c r="C9" i="20"/>
  <c r="C7" i="20"/>
  <c r="C6" i="20"/>
  <c r="C5" i="20"/>
  <c r="C4" i="20"/>
  <c r="C20" i="35"/>
  <c r="C14" i="20"/>
  <c r="B25" i="35" l="1"/>
  <c r="B23" i="35" s="1"/>
  <c r="C25" i="35"/>
  <c r="B27" i="35"/>
  <c r="C27" i="35"/>
  <c r="F16" i="27"/>
  <c r="D7" i="20"/>
  <c r="F10" i="27"/>
  <c r="D4" i="20"/>
  <c r="F12" i="27"/>
  <c r="D5" i="20"/>
  <c r="F14" i="27"/>
  <c r="D6" i="20"/>
  <c r="C7" i="8"/>
  <c r="D9" i="20"/>
  <c r="C9" i="8"/>
  <c r="C3" i="46"/>
  <c r="C5" i="46" s="1"/>
  <c r="C10" i="20"/>
  <c r="F6" i="27"/>
  <c r="C8" i="20"/>
  <c r="D8" i="20" s="1"/>
  <c r="B12" i="35"/>
  <c r="B6" i="35" s="1"/>
  <c r="B20" i="35"/>
  <c r="D27" i="35" l="1"/>
  <c r="C23" i="35"/>
  <c r="C8" i="8"/>
  <c r="D10" i="20"/>
  <c r="F18" i="27"/>
  <c r="F9" i="27" s="1"/>
  <c r="O5" i="27" s="1"/>
  <c r="C6" i="8"/>
  <c r="C11" i="20"/>
  <c r="B15" i="35"/>
  <c r="D15" i="35" s="1"/>
  <c r="F7" i="27"/>
  <c r="F5" i="27" s="1"/>
  <c r="C2" i="46"/>
  <c r="D6" i="35"/>
  <c r="D12" i="35"/>
  <c r="D11" i="20" l="1"/>
  <c r="H11" i="20" s="1"/>
  <c r="C5" i="8"/>
  <c r="F11" i="20"/>
  <c r="F3" i="27"/>
  <c r="J7" i="27" s="1"/>
  <c r="O4" i="27"/>
  <c r="O3" i="27" s="1"/>
  <c r="J9" i="27"/>
  <c r="D20" i="35"/>
  <c r="A7" i="8" l="1"/>
  <c r="A6" i="8"/>
  <c r="P5" i="27"/>
  <c r="P3" i="27"/>
  <c r="P4" i="27"/>
  <c r="H36" i="18"/>
  <c r="E35" i="18"/>
  <c r="F35" i="18" s="1"/>
  <c r="H30" i="18"/>
  <c r="E29" i="18"/>
  <c r="H24" i="18"/>
  <c r="E23" i="18"/>
  <c r="H29" i="18" l="1"/>
  <c r="F29" i="18"/>
  <c r="H23" i="18"/>
  <c r="H25" i="18" s="1"/>
  <c r="E42" i="18" s="1"/>
  <c r="F23" i="18"/>
  <c r="F24" i="18" s="1"/>
  <c r="I24" i="18" s="1"/>
  <c r="B72" i="29" s="1"/>
  <c r="H35" i="18"/>
  <c r="J35" i="18" s="1"/>
  <c r="J37" i="18" s="1"/>
  <c r="J29" i="18"/>
  <c r="J31" i="18" s="1"/>
  <c r="H31" i="18"/>
  <c r="F36" i="18"/>
  <c r="I36" i="18" s="1"/>
  <c r="I35" i="18"/>
  <c r="C14" i="28" l="1"/>
  <c r="F14" i="28" s="1"/>
  <c r="C18" i="30"/>
  <c r="D6" i="37" s="1"/>
  <c r="D19" i="37" s="1"/>
  <c r="B37" i="33"/>
  <c r="E29" i="20"/>
  <c r="B2" i="29" s="1"/>
  <c r="I23" i="18"/>
  <c r="I25" i="18" s="1"/>
  <c r="F42" i="18" s="1"/>
  <c r="D14" i="28" s="1"/>
  <c r="C37" i="33" s="1"/>
  <c r="H37" i="18"/>
  <c r="E43" i="18" s="1"/>
  <c r="C13" i="28" s="1"/>
  <c r="J23" i="18"/>
  <c r="J25" i="18" s="1"/>
  <c r="I37" i="18"/>
  <c r="F30" i="18"/>
  <c r="I30" i="18" s="1"/>
  <c r="B71" i="29" s="1"/>
  <c r="B73" i="29" s="1"/>
  <c r="I29" i="18"/>
  <c r="B50" i="29" l="1"/>
  <c r="B63" i="29" s="1"/>
  <c r="B65" i="29" s="1"/>
  <c r="B67" i="29" s="1"/>
  <c r="B3" i="29"/>
  <c r="B17" i="29" s="1"/>
  <c r="B36" i="33"/>
  <c r="B41" i="29"/>
  <c r="F13" i="28"/>
  <c r="D37" i="33"/>
  <c r="E14" i="28"/>
  <c r="I31" i="18"/>
  <c r="E44" i="18"/>
  <c r="F9" i="20"/>
  <c r="F8" i="20"/>
  <c r="F7" i="20"/>
  <c r="H4" i="20"/>
  <c r="B35" i="33" l="1"/>
  <c r="H8" i="20"/>
  <c r="H7" i="20"/>
  <c r="F5" i="20"/>
  <c r="F43" i="18"/>
  <c r="F6" i="20"/>
  <c r="H6" i="20"/>
  <c r="H5" i="20"/>
  <c r="H9" i="20"/>
  <c r="F4" i="20"/>
  <c r="F44" i="18" l="1"/>
  <c r="D13" i="28"/>
  <c r="H10" i="20"/>
  <c r="F10" i="20"/>
  <c r="C36" i="33" l="1"/>
  <c r="E13" i="28"/>
  <c r="G5" i="21"/>
  <c r="B62" i="29" s="1"/>
  <c r="B68" i="29" s="1"/>
  <c r="B69" i="29" s="1"/>
  <c r="G4" i="21"/>
  <c r="E5" i="21"/>
  <c r="B61" i="29" s="1"/>
  <c r="E4" i="21"/>
  <c r="B23" i="29" s="1"/>
  <c r="C6" i="21"/>
  <c r="B5" i="21" s="1"/>
  <c r="B24" i="29" l="1"/>
  <c r="C35" i="33"/>
  <c r="D36" i="33"/>
  <c r="E6" i="21"/>
  <c r="B4" i="21"/>
  <c r="G6" i="21"/>
  <c r="D35" i="33" l="1"/>
  <c r="B6" i="21"/>
  <c r="E28" i="15" l="1"/>
  <c r="E27" i="15"/>
  <c r="E26" i="15"/>
  <c r="F30" i="15" l="1"/>
  <c r="F20" i="15"/>
  <c r="F19" i="15"/>
  <c r="J13" i="1"/>
  <c r="D36" i="1" s="1"/>
  <c r="G13" i="1"/>
  <c r="B36" i="1" s="1"/>
  <c r="F30" i="1"/>
  <c r="D30" i="1"/>
  <c r="G29" i="1"/>
  <c r="E28" i="1"/>
  <c r="G27" i="1"/>
  <c r="E27" i="1"/>
  <c r="E26" i="1"/>
  <c r="G25" i="1"/>
  <c r="G24" i="1"/>
  <c r="B30" i="1"/>
  <c r="G22" i="1"/>
  <c r="E22" i="1"/>
  <c r="E21" i="1"/>
  <c r="B30" i="15"/>
  <c r="B29" i="15"/>
  <c r="B22" i="15"/>
  <c r="B21" i="15"/>
  <c r="B20" i="15"/>
  <c r="B19" i="15"/>
  <c r="B18" i="15"/>
  <c r="C30" i="20"/>
  <c r="F36" i="1" l="1"/>
  <c r="G36" i="1" s="1"/>
  <c r="F18" i="15"/>
  <c r="E30" i="1"/>
  <c r="G30" i="1"/>
  <c r="E23" i="1"/>
  <c r="E24" i="1"/>
  <c r="G28" i="1"/>
  <c r="G23" i="1"/>
  <c r="E29" i="1"/>
  <c r="G26" i="1"/>
  <c r="E25" i="1"/>
  <c r="E36" i="1" l="1"/>
  <c r="E37" i="1" s="1"/>
  <c r="D37" i="1" s="1"/>
  <c r="E48" i="1" s="1"/>
  <c r="C36" i="1"/>
  <c r="C37" i="1" s="1"/>
  <c r="B37" i="1" s="1"/>
  <c r="E41" i="1" s="1"/>
  <c r="C29" i="15"/>
  <c r="F29" i="15" s="1"/>
  <c r="E31" i="1"/>
  <c r="G31" i="1"/>
  <c r="E42" i="1" l="1"/>
  <c r="E47" i="1"/>
  <c r="E43" i="1"/>
  <c r="F43" i="1" s="1"/>
  <c r="F42" i="1"/>
  <c r="F31" i="1"/>
  <c r="C34" i="35"/>
  <c r="C33" i="35" s="1"/>
  <c r="C52" i="35" s="1"/>
  <c r="C53" i="35" s="1"/>
  <c r="D31" i="1"/>
  <c r="B34" i="35"/>
  <c r="B33" i="35" s="1"/>
  <c r="E49" i="1"/>
  <c r="F49" i="1" s="1"/>
  <c r="E30" i="20"/>
  <c r="C3" i="8"/>
  <c r="H17" i="18"/>
  <c r="H11" i="18"/>
  <c r="H5" i="18"/>
  <c r="D34" i="19"/>
  <c r="D14" i="19"/>
  <c r="D12" i="19"/>
  <c r="D11" i="19"/>
  <c r="D5" i="19"/>
  <c r="D4" i="19"/>
  <c r="F48" i="1" l="1"/>
  <c r="F47" i="1"/>
  <c r="F41" i="1"/>
  <c r="C15" i="39"/>
  <c r="D34" i="35"/>
  <c r="B52" i="35"/>
  <c r="B53" i="35" s="1"/>
  <c r="D53" i="35" s="1"/>
  <c r="B5" i="35"/>
  <c r="F30" i="20"/>
  <c r="B3" i="35" l="1"/>
  <c r="F5" i="28"/>
  <c r="B5" i="29"/>
  <c r="H21" i="20"/>
  <c r="F14" i="20"/>
  <c r="G14" i="19"/>
  <c r="H14" i="19"/>
  <c r="G12" i="19"/>
  <c r="H12" i="19"/>
  <c r="G11" i="19"/>
  <c r="H11" i="19"/>
  <c r="G5" i="19"/>
  <c r="G4" i="19"/>
  <c r="H5" i="19"/>
  <c r="H4" i="19"/>
  <c r="E16" i="18"/>
  <c r="F16" i="18" s="1"/>
  <c r="F17" i="18" s="1"/>
  <c r="E10" i="18"/>
  <c r="F10" i="18" s="1"/>
  <c r="F11" i="18" s="1"/>
  <c r="E4" i="18"/>
  <c r="H4" i="18" s="1"/>
  <c r="C18" i="20" l="1"/>
  <c r="D26" i="28"/>
  <c r="G29" i="20"/>
  <c r="B39" i="29" s="1"/>
  <c r="H16" i="18"/>
  <c r="H10" i="18"/>
  <c r="H12" i="18" s="1"/>
  <c r="H17" i="20"/>
  <c r="H14" i="20"/>
  <c r="G28" i="19"/>
  <c r="A41" i="19" s="1"/>
  <c r="H28" i="19"/>
  <c r="B41" i="19" s="1"/>
  <c r="A21" i="19"/>
  <c r="B21" i="19"/>
  <c r="F17" i="20"/>
  <c r="G35" i="19"/>
  <c r="D41" i="19" s="1"/>
  <c r="J4" i="18"/>
  <c r="H6" i="18"/>
  <c r="B42" i="18" s="1"/>
  <c r="F4" i="18"/>
  <c r="C11" i="44" l="1"/>
  <c r="C23" i="20"/>
  <c r="C4" i="28"/>
  <c r="B22" i="33" s="1"/>
  <c r="B54" i="33" s="1"/>
  <c r="B18" i="30"/>
  <c r="G41" i="19"/>
  <c r="D21" i="19"/>
  <c r="G21" i="19" s="1"/>
  <c r="E21" i="19"/>
  <c r="C20" i="28" s="1"/>
  <c r="A18" i="28" s="1"/>
  <c r="D18" i="20"/>
  <c r="F18" i="20" s="1"/>
  <c r="C22" i="8"/>
  <c r="C23" i="8" s="1"/>
  <c r="C30" i="28"/>
  <c r="C10" i="46"/>
  <c r="D30" i="28"/>
  <c r="J16" i="27"/>
  <c r="L20" i="27" s="1"/>
  <c r="C12" i="44"/>
  <c r="B40" i="29"/>
  <c r="B55" i="29" s="1"/>
  <c r="F15" i="28"/>
  <c r="F26" i="28" s="1"/>
  <c r="B42" i="29"/>
  <c r="E15" i="28"/>
  <c r="C26" i="28"/>
  <c r="D24" i="33"/>
  <c r="F4" i="28"/>
  <c r="F25" i="28" s="1"/>
  <c r="C25" i="28"/>
  <c r="J10" i="18"/>
  <c r="J12" i="18" s="1"/>
  <c r="H42" i="18"/>
  <c r="J16" i="18"/>
  <c r="J18" i="18" s="1"/>
  <c r="H18" i="18"/>
  <c r="B43" i="18" s="1"/>
  <c r="C3" i="28" s="1"/>
  <c r="B21" i="33" s="1"/>
  <c r="B53" i="33" s="1"/>
  <c r="J6" i="18"/>
  <c r="B12" i="29" s="1"/>
  <c r="B25" i="29" s="1"/>
  <c r="I11" i="18"/>
  <c r="I16" i="18"/>
  <c r="I17" i="18"/>
  <c r="I4" i="18"/>
  <c r="F5" i="18"/>
  <c r="H19" i="20"/>
  <c r="H35" i="19"/>
  <c r="E41" i="19" s="1"/>
  <c r="H41" i="19" s="1"/>
  <c r="C41" i="19" s="1"/>
  <c r="I10" i="18"/>
  <c r="C25" i="20" l="1"/>
  <c r="C31" i="20"/>
  <c r="B9" i="44"/>
  <c r="B11" i="44"/>
  <c r="H23" i="20"/>
  <c r="F23" i="20"/>
  <c r="F7" i="28"/>
  <c r="C28" i="28"/>
  <c r="F7" i="30" s="1"/>
  <c r="F41" i="19"/>
  <c r="B43" i="29"/>
  <c r="F16" i="28"/>
  <c r="F28" i="28" s="1"/>
  <c r="H21" i="19"/>
  <c r="F21" i="19" s="1"/>
  <c r="A15" i="28"/>
  <c r="H18" i="20"/>
  <c r="B61" i="33"/>
  <c r="E19" i="28"/>
  <c r="E30" i="28" s="1"/>
  <c r="D25" i="30"/>
  <c r="D25" i="33"/>
  <c r="F8" i="28"/>
  <c r="I5" i="18"/>
  <c r="B34" i="29" s="1"/>
  <c r="B33" i="29"/>
  <c r="B35" i="29" s="1"/>
  <c r="E26" i="28"/>
  <c r="D39" i="33"/>
  <c r="D18" i="30"/>
  <c r="C6" i="37"/>
  <c r="C19" i="37" s="1"/>
  <c r="E19" i="37" s="1"/>
  <c r="F3" i="28"/>
  <c r="F24" i="28" s="1"/>
  <c r="C9" i="28"/>
  <c r="C24" i="28"/>
  <c r="C31" i="28" s="1"/>
  <c r="A27" i="28" s="1"/>
  <c r="B4" i="29"/>
  <c r="D5" i="44"/>
  <c r="F5" i="44" s="1"/>
  <c r="F4" i="30"/>
  <c r="B27" i="29"/>
  <c r="B29" i="29" s="1"/>
  <c r="B30" i="29" s="1"/>
  <c r="B31" i="29" s="1"/>
  <c r="F3" i="30"/>
  <c r="D3" i="44"/>
  <c r="H43" i="18"/>
  <c r="H44" i="18" s="1"/>
  <c r="G44" i="18" s="1"/>
  <c r="B44" i="18"/>
  <c r="I12" i="18"/>
  <c r="I18" i="18"/>
  <c r="B20" i="20" l="1"/>
  <c r="D43" i="18"/>
  <c r="B4" i="20"/>
  <c r="B37" i="20"/>
  <c r="B22" i="20"/>
  <c r="B5" i="20"/>
  <c r="B6" i="20"/>
  <c r="B8" i="20"/>
  <c r="B35" i="20"/>
  <c r="B23" i="20"/>
  <c r="B9" i="20"/>
  <c r="F31" i="20"/>
  <c r="H31" i="20"/>
  <c r="B18" i="20"/>
  <c r="B21" i="20"/>
  <c r="B17" i="20"/>
  <c r="B19" i="20"/>
  <c r="B14" i="20"/>
  <c r="B10" i="20"/>
  <c r="B11" i="20"/>
  <c r="B7" i="20"/>
  <c r="C29" i="20"/>
  <c r="F29" i="20" s="1"/>
  <c r="I6" i="18"/>
  <c r="C42" i="18" s="1"/>
  <c r="D4" i="28" s="1"/>
  <c r="C22" i="33" s="1"/>
  <c r="C54" i="33" s="1"/>
  <c r="D20" i="28"/>
  <c r="B48" i="29" s="1"/>
  <c r="A3" i="28"/>
  <c r="A6" i="28"/>
  <c r="F17" i="28"/>
  <c r="F29" i="28" s="1"/>
  <c r="E17" i="28"/>
  <c r="A17" i="28"/>
  <c r="A13" i="28"/>
  <c r="A14" i="28"/>
  <c r="C29" i="28"/>
  <c r="F8" i="30" s="1"/>
  <c r="A16" i="28"/>
  <c r="C21" i="19"/>
  <c r="D22" i="30"/>
  <c r="D28" i="28"/>
  <c r="B33" i="33"/>
  <c r="D40" i="33"/>
  <c r="B47" i="29"/>
  <c r="B51" i="29" s="1"/>
  <c r="A19" i="28"/>
  <c r="D56" i="33"/>
  <c r="B60" i="33"/>
  <c r="B9" i="29"/>
  <c r="B13" i="29" s="1"/>
  <c r="B10" i="44"/>
  <c r="B7" i="44"/>
  <c r="B3" i="44"/>
  <c r="B5" i="44"/>
  <c r="E29" i="28"/>
  <c r="D29" i="28"/>
  <c r="D23" i="30"/>
  <c r="D44" i="18"/>
  <c r="E9" i="37"/>
  <c r="E11" i="37"/>
  <c r="G43" i="18"/>
  <c r="E7" i="37"/>
  <c r="B20" i="33"/>
  <c r="D12" i="44"/>
  <c r="F3" i="44"/>
  <c r="F12" i="44" s="1"/>
  <c r="D25" i="28"/>
  <c r="E4" i="28"/>
  <c r="E25" i="28" s="1"/>
  <c r="A4" i="28"/>
  <c r="A8" i="28"/>
  <c r="A7" i="28"/>
  <c r="A5" i="28"/>
  <c r="E6" i="37"/>
  <c r="D25" i="35"/>
  <c r="C43" i="18"/>
  <c r="I42" i="18"/>
  <c r="H29" i="20" l="1"/>
  <c r="E12" i="44"/>
  <c r="J5" i="27" s="1"/>
  <c r="M20" i="27"/>
  <c r="B12" i="44"/>
  <c r="D19" i="30"/>
  <c r="B18" i="33"/>
  <c r="E28" i="28"/>
  <c r="E20" i="28"/>
  <c r="A20" i="28"/>
  <c r="A29" i="28"/>
  <c r="B49" i="29"/>
  <c r="D38" i="33"/>
  <c r="D41" i="33"/>
  <c r="C61" i="33"/>
  <c r="D57" i="33"/>
  <c r="D26" i="33"/>
  <c r="E10" i="37"/>
  <c r="A9" i="28"/>
  <c r="D54" i="33"/>
  <c r="D22" i="33"/>
  <c r="B52" i="33"/>
  <c r="A26" i="28"/>
  <c r="A30" i="28"/>
  <c r="C20" i="8"/>
  <c r="A25" i="28"/>
  <c r="I43" i="18"/>
  <c r="D3" i="28"/>
  <c r="C21" i="33" s="1"/>
  <c r="C53" i="33" s="1"/>
  <c r="A24" i="28"/>
  <c r="D23" i="35"/>
  <c r="C44" i="18"/>
  <c r="D44" i="33" l="1"/>
  <c r="D43" i="33"/>
  <c r="A28" i="28"/>
  <c r="C33" i="33"/>
  <c r="D33" i="33" s="1"/>
  <c r="D6" i="48" s="1"/>
  <c r="C60" i="33"/>
  <c r="D60" i="33" s="1"/>
  <c r="D61" i="33"/>
  <c r="D55" i="33"/>
  <c r="D58" i="33"/>
  <c r="B50" i="33"/>
  <c r="C42" i="35"/>
  <c r="C40" i="35" s="1"/>
  <c r="D24" i="28"/>
  <c r="D31" i="28" s="1"/>
  <c r="D9" i="28"/>
  <c r="E3" i="28"/>
  <c r="A31" i="28"/>
  <c r="C22" i="15"/>
  <c r="D6" i="39" l="1"/>
  <c r="C46" i="35"/>
  <c r="C44" i="35" s="1"/>
  <c r="C38" i="35" s="1"/>
  <c r="C54" i="35" s="1"/>
  <c r="E24" i="28"/>
  <c r="E31" i="28" s="1"/>
  <c r="E9" i="28"/>
  <c r="D21" i="33"/>
  <c r="C20" i="33"/>
  <c r="I44" i="18"/>
  <c r="C25" i="15"/>
  <c r="C18" i="33" l="1"/>
  <c r="D18" i="33" s="1"/>
  <c r="D20" i="33"/>
  <c r="C52" i="33"/>
  <c r="C50" i="33" s="1"/>
  <c r="D53" i="33"/>
  <c r="C6" i="48"/>
  <c r="E6" i="48" s="1"/>
  <c r="F23" i="15"/>
  <c r="F24" i="15"/>
  <c r="B27" i="15"/>
  <c r="B28" i="15"/>
  <c r="B23" i="15"/>
  <c r="B24" i="15"/>
  <c r="B26" i="15"/>
  <c r="B46" i="35" l="1"/>
  <c r="B42" i="35"/>
  <c r="C6" i="39"/>
  <c r="E6" i="39" s="1"/>
  <c r="D52" i="33"/>
  <c r="F22" i="15"/>
  <c r="F27" i="15"/>
  <c r="F28" i="15"/>
  <c r="F21" i="15"/>
  <c r="F25" i="15" s="1"/>
  <c r="E25" i="15" s="1"/>
  <c r="D50" i="33" l="1"/>
  <c r="E52" i="33" s="1"/>
  <c r="B40" i="35"/>
  <c r="D42" i="35"/>
  <c r="D46" i="35"/>
  <c r="B44" i="35"/>
  <c r="D44" i="35" s="1"/>
  <c r="D7" i="38" l="1"/>
  <c r="E60" i="33"/>
  <c r="E55" i="33"/>
  <c r="E62" i="33"/>
  <c r="B38" i="35"/>
  <c r="D40" i="35"/>
  <c r="D38" i="35" s="1"/>
  <c r="F26" i="15"/>
  <c r="E13" i="1"/>
  <c r="B13" i="1"/>
  <c r="E50" i="33" l="1"/>
  <c r="D10" i="38"/>
  <c r="E13" i="48" s="1"/>
  <c r="D54" i="35"/>
  <c r="C55" i="35" s="1"/>
  <c r="C39" i="35"/>
  <c r="B54" i="35"/>
  <c r="B39" i="35"/>
  <c r="D20" i="38" l="1"/>
  <c r="D39" i="35"/>
  <c r="B55" i="35"/>
  <c r="D55" i="35" s="1"/>
  <c r="E13" i="39"/>
  <c r="C2" i="8"/>
  <c r="C4" i="8" s="1"/>
  <c r="F13" i="1"/>
  <c r="C14" i="8" l="1"/>
  <c r="D14" i="8" s="1"/>
  <c r="D19" i="35"/>
  <c r="C19" i="35"/>
  <c r="B19" i="35"/>
  <c r="B28" i="35" s="1"/>
  <c r="D4" i="8"/>
  <c r="D9" i="8"/>
  <c r="D7" i="8"/>
  <c r="D8" i="8"/>
  <c r="D6" i="8"/>
  <c r="D5" i="8"/>
  <c r="C15" i="8"/>
  <c r="B50" i="35" l="1"/>
  <c r="B56" i="35" s="1"/>
  <c r="C19" i="8"/>
  <c r="D15" i="8"/>
  <c r="C18" i="8" l="1"/>
  <c r="F25" i="20" l="1"/>
  <c r="H25" i="20"/>
  <c r="C21" i="8" l="1"/>
  <c r="D42" i="18" l="1"/>
  <c r="G42" i="18"/>
  <c r="A8" i="8" l="1"/>
  <c r="D12" i="8" l="1"/>
  <c r="D11" i="8"/>
  <c r="C3" i="30" l="1"/>
  <c r="E3" i="30" l="1"/>
  <c r="D12" i="47"/>
  <c r="C17" i="30" l="1"/>
  <c r="B17" i="30"/>
  <c r="B16" i="30" s="1"/>
  <c r="B13" i="30" s="1"/>
  <c r="D5" i="48"/>
  <c r="C5" i="48"/>
  <c r="C5" i="39"/>
  <c r="D5" i="39"/>
  <c r="C5" i="37"/>
  <c r="C18" i="37" s="1"/>
  <c r="C15" i="37" s="1"/>
  <c r="D17" i="30"/>
  <c r="D16" i="30" s="1"/>
  <c r="E5" i="48" l="1"/>
  <c r="D5" i="37"/>
  <c r="D18" i="37" s="1"/>
  <c r="D15" i="37" s="1"/>
  <c r="D8" i="48" s="1"/>
  <c r="C16" i="30"/>
  <c r="C13" i="30" s="1"/>
  <c r="D13" i="30" s="1"/>
  <c r="D4" i="48"/>
  <c r="D5" i="36"/>
  <c r="D23" i="36" s="1"/>
  <c r="D4" i="37"/>
  <c r="D4" i="39"/>
  <c r="E5" i="39"/>
  <c r="D5" i="38"/>
  <c r="E5" i="37"/>
  <c r="D8" i="39"/>
  <c r="E18" i="37" l="1"/>
  <c r="E15" i="37" s="1"/>
  <c r="E21" i="30"/>
  <c r="E24" i="30"/>
  <c r="C4" i="48"/>
  <c r="C8" i="48"/>
  <c r="E8" i="48" s="1"/>
  <c r="D8" i="36"/>
  <c r="D17" i="36"/>
  <c r="D16" i="36"/>
  <c r="D7" i="36"/>
  <c r="D13" i="36"/>
  <c r="D14" i="36"/>
  <c r="D12" i="36"/>
  <c r="D9" i="36"/>
  <c r="D15" i="36"/>
  <c r="D11" i="36"/>
  <c r="D10" i="36"/>
  <c r="B14" i="30"/>
  <c r="C4" i="37"/>
  <c r="C5" i="36"/>
  <c r="C23" i="36" s="1"/>
  <c r="C4" i="39"/>
  <c r="E23" i="36" l="1"/>
  <c r="C25" i="36" s="1"/>
  <c r="E4" i="48"/>
  <c r="E19" i="30"/>
  <c r="D14" i="30"/>
  <c r="C14" i="30"/>
  <c r="E10" i="48"/>
  <c r="E4" i="39"/>
  <c r="C13" i="36"/>
  <c r="C15" i="36"/>
  <c r="C7" i="36"/>
  <c r="C10" i="36"/>
  <c r="C11" i="36"/>
  <c r="C8" i="36"/>
  <c r="C17" i="36"/>
  <c r="C9" i="36"/>
  <c r="C12" i="36"/>
  <c r="C16" i="36"/>
  <c r="C14" i="36"/>
  <c r="E20" i="30"/>
  <c r="E18" i="30"/>
  <c r="E25" i="30"/>
  <c r="E22" i="30"/>
  <c r="E4" i="37"/>
  <c r="E23" i="30"/>
  <c r="D4" i="38"/>
  <c r="E5" i="36"/>
  <c r="E17" i="30"/>
  <c r="C16" i="37"/>
  <c r="C8" i="39"/>
  <c r="E8" i="39" s="1"/>
  <c r="D18" i="36"/>
  <c r="E16" i="30"/>
  <c r="E13" i="30" s="1"/>
  <c r="D11" i="38"/>
  <c r="D16" i="37"/>
  <c r="E16" i="37" l="1"/>
  <c r="D7" i="48"/>
  <c r="D9" i="48" s="1"/>
  <c r="D24" i="36"/>
  <c r="E25" i="36"/>
  <c r="D25" i="36"/>
  <c r="C19" i="36"/>
  <c r="D3" i="38"/>
  <c r="E4" i="38" s="1"/>
  <c r="C18" i="36"/>
  <c r="E10" i="39"/>
  <c r="D10" i="39"/>
  <c r="E11" i="38"/>
  <c r="E7" i="36"/>
  <c r="E15" i="36"/>
  <c r="E14" i="36"/>
  <c r="E10" i="36"/>
  <c r="E12" i="36"/>
  <c r="E13" i="36"/>
  <c r="E17" i="36"/>
  <c r="E9" i="36"/>
  <c r="E8" i="36"/>
  <c r="E16" i="36"/>
  <c r="E19" i="36"/>
  <c r="E11" i="36"/>
  <c r="D19" i="36"/>
  <c r="D7" i="39"/>
  <c r="D9" i="39" s="1"/>
  <c r="C10" i="39"/>
  <c r="C7" i="48" l="1"/>
  <c r="C24" i="36"/>
  <c r="E24" i="36" s="1"/>
  <c r="A24" i="36" s="1"/>
  <c r="E7" i="48"/>
  <c r="E9" i="48" s="1"/>
  <c r="C9" i="48"/>
  <c r="C13" i="39"/>
  <c r="C12" i="39"/>
  <c r="D13" i="39"/>
  <c r="D12" i="39"/>
  <c r="E18" i="36"/>
  <c r="D8" i="38" s="1"/>
  <c r="C7" i="39"/>
  <c r="E9" i="38"/>
  <c r="E10" i="38"/>
  <c r="E15" i="38"/>
  <c r="E3" i="38"/>
  <c r="E7" i="38"/>
  <c r="E5" i="38"/>
  <c r="D6" i="38" l="1"/>
  <c r="E7" i="39"/>
  <c r="E9" i="39" s="1"/>
  <c r="C9" i="39"/>
  <c r="E6" i="38" l="1"/>
  <c r="D12" i="38"/>
  <c r="E12" i="38" l="1"/>
  <c r="C32" i="15"/>
  <c r="F32" i="15" s="1"/>
  <c r="C33" i="15" l="1"/>
  <c r="C35" i="15" s="1"/>
  <c r="D32" i="15" s="1"/>
  <c r="F33" i="15"/>
  <c r="D28" i="15" l="1"/>
  <c r="D20" i="15"/>
  <c r="D23" i="15"/>
  <c r="D26" i="15"/>
  <c r="D33" i="15"/>
  <c r="D30" i="15"/>
  <c r="D24" i="15"/>
  <c r="D27" i="15"/>
  <c r="D22" i="15"/>
  <c r="D19" i="15"/>
  <c r="D18" i="15"/>
  <c r="D21" i="15"/>
  <c r="D31" i="15"/>
  <c r="D29" i="15"/>
  <c r="H30" i="20"/>
  <c r="D15" i="39"/>
  <c r="C5" i="35"/>
  <c r="F35" i="15"/>
  <c r="E33" i="15"/>
  <c r="D25" i="15" l="1"/>
  <c r="D35" i="15" s="1"/>
  <c r="D5" i="35"/>
  <c r="D3" i="35" s="1"/>
  <c r="C3" i="35"/>
  <c r="C28" i="35" s="1"/>
  <c r="D28" i="35" s="1"/>
  <c r="G23" i="15"/>
  <c r="G24" i="15"/>
  <c r="G30" i="15"/>
  <c r="G18" i="15"/>
  <c r="E35" i="15"/>
  <c r="G29" i="15"/>
  <c r="G22" i="15"/>
  <c r="G28" i="15"/>
  <c r="G20" i="15"/>
  <c r="G21" i="15"/>
  <c r="G31" i="15"/>
  <c r="G27" i="15"/>
  <c r="G19" i="15"/>
  <c r="G26" i="15"/>
  <c r="G32" i="15"/>
  <c r="E15" i="39"/>
  <c r="G33" i="15" l="1"/>
  <c r="C50" i="35"/>
  <c r="C29" i="35"/>
  <c r="G25" i="15"/>
  <c r="G35" i="15" s="1"/>
  <c r="B29" i="35"/>
  <c r="D13" i="38"/>
  <c r="D50" i="35"/>
  <c r="D29" i="35"/>
  <c r="B51" i="35" l="1"/>
  <c r="C61" i="35"/>
  <c r="C60" i="35"/>
  <c r="B61" i="35"/>
  <c r="D14" i="38"/>
  <c r="E13" i="38"/>
  <c r="E11" i="48"/>
  <c r="E11" i="39"/>
  <c r="C56" i="35"/>
  <c r="C51" i="35"/>
  <c r="D51" i="35" s="1"/>
  <c r="D56" i="35" l="1"/>
  <c r="B57" i="35" s="1"/>
  <c r="C10" i="48" s="1"/>
  <c r="C11" i="39"/>
  <c r="C14" i="39" s="1"/>
  <c r="D11" i="39"/>
  <c r="D14" i="39" s="1"/>
  <c r="D16" i="38"/>
  <c r="E16" i="38" s="1"/>
  <c r="C21" i="38"/>
  <c r="E14" i="38"/>
  <c r="D21" i="38"/>
  <c r="C57" i="35" l="1"/>
  <c r="C4" i="47"/>
  <c r="C5" i="47" s="1"/>
  <c r="C22" i="38"/>
  <c r="D16" i="39"/>
  <c r="D4" i="47"/>
  <c r="E21" i="38"/>
  <c r="E22" i="38" s="1"/>
  <c r="D22" i="38"/>
  <c r="C16" i="39"/>
  <c r="E14" i="39"/>
  <c r="E16" i="39" s="1"/>
  <c r="D10" i="48" l="1"/>
  <c r="D11" i="48" s="1"/>
  <c r="D57" i="35"/>
  <c r="D13" i="48"/>
  <c r="C13" i="48"/>
  <c r="C12" i="48"/>
  <c r="C11" i="48"/>
  <c r="E17" i="39"/>
  <c r="C17" i="39"/>
  <c r="C18" i="39" s="1"/>
  <c r="D17" i="39"/>
  <c r="D18" i="39" s="1"/>
  <c r="D19" i="39" s="1"/>
  <c r="D8" i="47"/>
  <c r="D10" i="47" s="1"/>
  <c r="D14" i="47" s="1"/>
  <c r="D15" i="47" s="1"/>
  <c r="D5" i="47"/>
  <c r="D12" i="48" l="1"/>
  <c r="D14" i="48" s="1"/>
  <c r="D16" i="48" s="1"/>
  <c r="C14" i="48"/>
  <c r="E18" i="39"/>
  <c r="C19" i="39"/>
  <c r="E19" i="39" s="1"/>
  <c r="E14" i="48" l="1"/>
  <c r="C17" i="48" s="1"/>
  <c r="C18" i="48" s="1"/>
  <c r="D17" i="48" l="1"/>
  <c r="D18" i="48" s="1"/>
  <c r="D19" i="48" s="1"/>
  <c r="E17" i="48"/>
  <c r="C19" i="48"/>
  <c r="J6" i="27"/>
  <c r="J15" i="27" s="1"/>
  <c r="J21" i="27" l="1"/>
  <c r="E19" i="48"/>
  <c r="E18" i="48"/>
  <c r="J8" i="27"/>
  <c r="J10" i="27"/>
  <c r="K23" i="27" s="1"/>
</calcChain>
</file>

<file path=xl/comments1.xml><?xml version="1.0" encoding="utf-8"?>
<comments xmlns="http://schemas.openxmlformats.org/spreadsheetml/2006/main">
  <authors>
    <author>usuario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Un predio es Urbano no Edificado</t>
        </r>
      </text>
    </comment>
  </commentList>
</comments>
</file>

<file path=xl/sharedStrings.xml><?xml version="1.0" encoding="utf-8"?>
<sst xmlns="http://schemas.openxmlformats.org/spreadsheetml/2006/main" count="1048" uniqueCount="498">
  <si>
    <t>MANZANA</t>
  </si>
  <si>
    <t>NUMERO DE PREDIOS</t>
  </si>
  <si>
    <t>TOTALES</t>
  </si>
  <si>
    <t>PROMEDIO DE PISOS</t>
  </si>
  <si>
    <t>DETALLE</t>
  </si>
  <si>
    <t>%</t>
  </si>
  <si>
    <t>EDIFICABILIDAD</t>
  </si>
  <si>
    <t>VIA CALLE 129B</t>
  </si>
  <si>
    <t>VIA CALLE 129C</t>
  </si>
  <si>
    <t>VIA CALLE 129CBIS</t>
  </si>
  <si>
    <t>VIA CARRERA 104B</t>
  </si>
  <si>
    <t>VIA CARRERA 104C</t>
  </si>
  <si>
    <t>VIA CARRERA 104D</t>
  </si>
  <si>
    <t>VIA CARRERA 104F</t>
  </si>
  <si>
    <t>VIA CARRERA 105</t>
  </si>
  <si>
    <t>VIA CARRERA 105A</t>
  </si>
  <si>
    <t>VIA CARRERA 105 BIS</t>
  </si>
  <si>
    <t>USO</t>
  </si>
  <si>
    <t>AREA VENDIBLE</t>
  </si>
  <si>
    <t>CUADRO DE AREA SUELO Y PROPIEDAD PRIVADA</t>
  </si>
  <si>
    <t>AREA BRUTA</t>
  </si>
  <si>
    <t>AREA DE VERIFICACION DEL PLAN PARCIAL</t>
  </si>
  <si>
    <t>VALOR DEL SUELO URBANIZADO (Ingresos - Egresos)</t>
  </si>
  <si>
    <t>BLOQUE</t>
  </si>
  <si>
    <t>AREA SUELO (NETA V)</t>
  </si>
  <si>
    <t>UND POR PISO</t>
  </si>
  <si>
    <t xml:space="preserve">TORRE </t>
  </si>
  <si>
    <t>TORRE</t>
  </si>
  <si>
    <t>AREA POR UND VIV</t>
  </si>
  <si>
    <t>AREA SUELO (TTL CONST)</t>
  </si>
  <si>
    <t>BLOQUE 1</t>
  </si>
  <si>
    <t>BLOQUE 2</t>
  </si>
  <si>
    <t>BLOQUE 3</t>
  </si>
  <si>
    <t>TOTAL</t>
  </si>
  <si>
    <t>CONDICIONES INICIALES - DIVISIÓN PREDIAL</t>
  </si>
  <si>
    <t>ÁREA PREDIAL</t>
  </si>
  <si>
    <t>BALANCE GENERAL DEL PLAN PARCIAL</t>
  </si>
  <si>
    <t>Valor inicial del suelo</t>
  </si>
  <si>
    <t>ESPACIO PUBLICO TOTAL</t>
  </si>
  <si>
    <t>TOTAL UND VIV POR TORRE</t>
  </si>
  <si>
    <t>Z.V. PARQUE VECINAL AURES II</t>
  </si>
  <si>
    <t>Z.V. PARQUE VECINAL LA CONCORDIA</t>
  </si>
  <si>
    <t>AREA</t>
  </si>
  <si>
    <t xml:space="preserve">UA </t>
  </si>
  <si>
    <t>1A</t>
  </si>
  <si>
    <t>1B</t>
  </si>
  <si>
    <t>AREA CONSTRUIBLE</t>
  </si>
  <si>
    <t>SUBTOTALES</t>
  </si>
  <si>
    <t>NUMERO DE PISOS</t>
  </si>
  <si>
    <t>TOTALES VIVIENDA</t>
  </si>
  <si>
    <t>UA1</t>
  </si>
  <si>
    <t>UA2</t>
  </si>
  <si>
    <t>TIPO VIVIENDA</t>
  </si>
  <si>
    <t>1A PISO 1</t>
  </si>
  <si>
    <t>NUMERO DE COMERCIOS</t>
  </si>
  <si>
    <t>1B PISO 1</t>
  </si>
  <si>
    <t>1C PISO 1</t>
  </si>
  <si>
    <t>2A PISO 1</t>
  </si>
  <si>
    <t>2B PISO 1</t>
  </si>
  <si>
    <t>2C PISO 1</t>
  </si>
  <si>
    <t>PISO 1</t>
  </si>
  <si>
    <t>PISO 2</t>
  </si>
  <si>
    <t>PISO</t>
  </si>
  <si>
    <t>AREA TOTAL CONSTRUIBLE</t>
  </si>
  <si>
    <t>AREA TOTAL VENDIBLE</t>
  </si>
  <si>
    <t>TOTAL PISOS</t>
  </si>
  <si>
    <t>3 al 11</t>
  </si>
  <si>
    <t>3 al 9</t>
  </si>
  <si>
    <t>TOTAL P.P.</t>
  </si>
  <si>
    <t>EN PISO</t>
  </si>
  <si>
    <t>VARIOS PISOS</t>
  </si>
  <si>
    <t>AREAS PUBLICAS</t>
  </si>
  <si>
    <t>ESPACIO PUBLICO CIRCULACION PEATONAL</t>
  </si>
  <si>
    <t>ESPACIO PUBLICO DE PROXIMIDAD ZONA VERDE PUBLICA</t>
  </si>
  <si>
    <t>ESPACIO PUBLICO DE PROXIMIDAD PLAZA PUBLICA</t>
  </si>
  <si>
    <t>EQUIPAMIENTO PUBLICO</t>
  </si>
  <si>
    <t>AREAS PRIVADAS</t>
  </si>
  <si>
    <t>SUMA IGUAL A AREA DE VERIFICACION</t>
  </si>
  <si>
    <t>Equipamiento privado</t>
  </si>
  <si>
    <t>1C</t>
  </si>
  <si>
    <t>UNIDAD 1</t>
  </si>
  <si>
    <t>UNIDAD 2</t>
  </si>
  <si>
    <t>TOTAL PREDIOS</t>
  </si>
  <si>
    <t>PREDIOS</t>
  </si>
  <si>
    <t xml:space="preserve">AREA SUELO </t>
  </si>
  <si>
    <t xml:space="preserve">AREA CONSTRUIDA </t>
  </si>
  <si>
    <t>CONCEPTO</t>
  </si>
  <si>
    <t>TOTAL SUELO PRIVADO</t>
  </si>
  <si>
    <t>VALOR TOTAL</t>
  </si>
  <si>
    <t>% DE PARTICIPACION EN EL AREA TOTAL</t>
  </si>
  <si>
    <t>VALOR INICIAL POR m2</t>
  </si>
  <si>
    <t>VALOR INICIAL TOTAL ($) (Vi)</t>
  </si>
  <si>
    <t>% DE PARTICIPACION DEL VALOR TOTAL</t>
  </si>
  <si>
    <t>PARQUEADEROS SOTERRADOS</t>
  </si>
  <si>
    <t>CIRCULACIONES</t>
  </si>
  <si>
    <t>UTIL</t>
  </si>
  <si>
    <t>AREA SUELO</t>
  </si>
  <si>
    <t>AREA CONSTRUIDA</t>
  </si>
  <si>
    <t>CALLE 129</t>
  </si>
  <si>
    <t>AREA PARA CONFORMACION DE VIAS PERFIL I6 PARA CALLE 129D</t>
  </si>
  <si>
    <t>AMPLIACION ANDEN PARA CONFIGURAR BULEVAR PARA CALLE 129D</t>
  </si>
  <si>
    <t>AREA PARA CONFORMACION DE VIAS PERFIL I6 PARA CALLE 129</t>
  </si>
  <si>
    <t>AMPLIACION ANDEN PARA CONFIGURAR BULEVAR PARA CALLE 129</t>
  </si>
  <si>
    <t>las arrendan</t>
  </si>
  <si>
    <t>VIVIENDA NO VIS 64 m2</t>
  </si>
  <si>
    <t>1A PISO 2 mezanine</t>
  </si>
  <si>
    <t>1B PISO 2 mezanine</t>
  </si>
  <si>
    <t>1C PISO 2 mezanine</t>
  </si>
  <si>
    <t>2A PISO 2 mezanine</t>
  </si>
  <si>
    <t>2B PISO 2 mezanine</t>
  </si>
  <si>
    <t>2C PISO 2 mezanine</t>
  </si>
  <si>
    <t>VIVIENDA VIS 45 m2</t>
  </si>
  <si>
    <t>NO VIS 64 m2</t>
  </si>
  <si>
    <t>VIS 45 m2</t>
  </si>
  <si>
    <t>CANTIDAD</t>
  </si>
  <si>
    <t>BLOQUE 2'</t>
  </si>
  <si>
    <t>Espacio Publico Vias</t>
  </si>
  <si>
    <t>AREAS SUELO PUBLICO TOTAL</t>
  </si>
  <si>
    <t>Espacio Publico Parques</t>
  </si>
  <si>
    <t>1.1</t>
  </si>
  <si>
    <t>1.2</t>
  </si>
  <si>
    <t>AREAS SUELO PRIVADO</t>
  </si>
  <si>
    <t>Manzanas Prediales</t>
  </si>
  <si>
    <t>2.1</t>
  </si>
  <si>
    <t>No. de Predios</t>
  </si>
  <si>
    <t>2.2</t>
  </si>
  <si>
    <t>TOTAL AREA BRUTA POLIGONO DE INTERVENCION</t>
  </si>
  <si>
    <t>ESPACIO PUBLICO EFECTIVO</t>
  </si>
  <si>
    <t>PARQUE AURES II</t>
  </si>
  <si>
    <t>PARQUE LA CONCORDIA</t>
  </si>
  <si>
    <t>PARQUE ESPACIO PUBLICO PARA EL ENCUENTRO</t>
  </si>
  <si>
    <t>PLAZA ESPACIO PUBLICO PARA EL ENCUENTRO</t>
  </si>
  <si>
    <t>ESPACIO PUBLICO VIAS</t>
  </si>
  <si>
    <t>ESPACIO PUBLICO NUEVO Y REORDENADO</t>
  </si>
  <si>
    <t xml:space="preserve"> ESPACIO PUBLICO EXISTENTE</t>
  </si>
  <si>
    <t>1.</t>
  </si>
  <si>
    <t>2.</t>
  </si>
  <si>
    <t>AREA PARA CONFORMACION DE PERFIL I6 PARA CALLE 129D</t>
  </si>
  <si>
    <t>AREA PARA CONFORMACION PERFIL I6 PARA CALLE 129</t>
  </si>
  <si>
    <t>HABITANTES POR HOGAR</t>
  </si>
  <si>
    <t>TOTAL HABITANTES</t>
  </si>
  <si>
    <t>INDICE ESPACIO PUBLICO TOTAL</t>
  </si>
  <si>
    <t>INDICE ESPACIO PUBLICO EFECTIVO</t>
  </si>
  <si>
    <t>EXISTENTE</t>
  </si>
  <si>
    <t>PROPUESTO</t>
  </si>
  <si>
    <t>COMPARATIVO ESPACIO PUBLICO</t>
  </si>
  <si>
    <t>Vías</t>
  </si>
  <si>
    <t>Espacio público de proximidad parque público</t>
  </si>
  <si>
    <t>Espacio público de proximidad plaza pública</t>
  </si>
  <si>
    <t>ZONAS COMUNES</t>
  </si>
  <si>
    <t>UNIDADES</t>
  </si>
  <si>
    <t>AREA CONSTRUIDA VENDIBLE VIVIENDA</t>
  </si>
  <si>
    <t>SUBTOTAL  AREA CONSTRUIDA VENDIBLE</t>
  </si>
  <si>
    <t>SUBTOTAL AREA CONSTRUIDA ZONAS COMUNES</t>
  </si>
  <si>
    <t>TOTAL AREA CONSTRUIDA</t>
  </si>
  <si>
    <t>AREA PUBLICA EN PRIMER PISO</t>
  </si>
  <si>
    <t>ALTURA DE PISOS</t>
  </si>
  <si>
    <t>AREA CONSTRUIDA EN SOTANOS</t>
  </si>
  <si>
    <t>NUMERO DE SOTANOS</t>
  </si>
  <si>
    <t>AREA CONSTRUIDA ESTACIONAMIENTOS</t>
  </si>
  <si>
    <t>AREA CIRCULACIONES Y RAMPAS</t>
  </si>
  <si>
    <t>AREA UTIL ESTACIONAMIENTOS</t>
  </si>
  <si>
    <t>TOTAL ESTACIONAMIENTOS BICICLETAS</t>
  </si>
  <si>
    <t>TOTAL AREA ESTACIONAMIENTOS BICICLETAS</t>
  </si>
  <si>
    <t>AREA DE ESTACIONAMIENTO POR BICICLETA</t>
  </si>
  <si>
    <t>TOTAL AREA ESTACIONAMIENTO PARA VEHICULOS</t>
  </si>
  <si>
    <t>TOTAL ESTACIONAMIENTO PARA VEHICULOS</t>
  </si>
  <si>
    <t>AREA PARA EQUIPAMIENTO PRIVADO PARA VIS</t>
  </si>
  <si>
    <t>AREA DE VERIFICACION</t>
  </si>
  <si>
    <t>AREA UTIL</t>
  </si>
  <si>
    <t>AREA DE PARA EQUIPAMIENTO PUBLICO</t>
  </si>
  <si>
    <t>ESTACIONAMIENTO BICICLETAS Y ALTERNATIVOS VIVIENDA</t>
  </si>
  <si>
    <t>ESTACIONAMIENTO BICICLETAS Y ALTERNATIVOS OTROS USOS</t>
  </si>
  <si>
    <t>TOTAL NUMERO DE VIVIENDAS</t>
  </si>
  <si>
    <t>AREA PARA EQUIPAMIENTOS PRIVADO PARA NO VIS</t>
  </si>
  <si>
    <t>TOTAL AREA EQUIPAMIENTOS PRIVADOS</t>
  </si>
  <si>
    <t>INDICE DE CONSTRUCCION EFECTIVO - ICe</t>
  </si>
  <si>
    <t>INDICE DE OCUPACION PLATAFORMA - IO</t>
  </si>
  <si>
    <t>VALORES DE VENTA DE PRODUCTOS INMOBILIARIOS</t>
  </si>
  <si>
    <t>VALOR VENTA EN SMLV</t>
  </si>
  <si>
    <t>VALOR DE VENTA EN COP</t>
  </si>
  <si>
    <t>AREA TIPO</t>
  </si>
  <si>
    <t>VALOR DE VENTA m2</t>
  </si>
  <si>
    <t>RESUMEN DE VENTAS</t>
  </si>
  <si>
    <t>COSTO DIRECTO AREA VENDIBLE</t>
  </si>
  <si>
    <t>COSTO DIRECTO ZONAS COMUNES</t>
  </si>
  <si>
    <t>Valor demoliciones edificaciones - m2 lote</t>
  </si>
  <si>
    <t>COSTO DIRECTO - DEMOLICIONES</t>
  </si>
  <si>
    <t>Area ampliacion anden Calle 129D</t>
  </si>
  <si>
    <t>Area conformacion perfil I6 en Calle 129D</t>
  </si>
  <si>
    <t>Area conformacion perfil I6 en Calle 129</t>
  </si>
  <si>
    <t>Area ampliacion anden Calle 129</t>
  </si>
  <si>
    <t>Area circulacion peatonal al interior manzana</t>
  </si>
  <si>
    <t>COSTO DIRECTO ESPACIO PUBLICO - VIAS</t>
  </si>
  <si>
    <t>Espacio publico para encuentro - Parque</t>
  </si>
  <si>
    <t>Espacio Publico para encuentro - Plaza</t>
  </si>
  <si>
    <t>COSTO DIRECTO CONSTRUCCION EQ. PUBLICO</t>
  </si>
  <si>
    <t>Valor construccion via local - m2</t>
  </si>
  <si>
    <t>Valor construccion espacio publico de proximidad - m2</t>
  </si>
  <si>
    <t>Valor construccion equipamiento publico - m2</t>
  </si>
  <si>
    <t>Equipamiento publico (hasta 2 pisos)</t>
  </si>
  <si>
    <t>COSTO DIRECTO ESPACIO PUBLICO - PARQUE / PLAZA</t>
  </si>
  <si>
    <t>COSTO DIRECTO - DOTACION SERVICIOS PUBLICOS (Art. 320 Dcto 555 OSP: CS * Vref * 0,064)</t>
  </si>
  <si>
    <t>COSTO DE PROGRAMA GESTION A MORADORES</t>
  </si>
  <si>
    <t>Gestor de ejecucion plan parcial</t>
  </si>
  <si>
    <t>Base costos directos</t>
  </si>
  <si>
    <t>Costo de formulacion</t>
  </si>
  <si>
    <t>Porcentaje</t>
  </si>
  <si>
    <t xml:space="preserve"> CIRCULACIONES ENTRE BLOQUES DE VIVIENDA</t>
  </si>
  <si>
    <t xml:space="preserve"> RETIROS PARA GENERAR ANDEN CUBIERTO EN BLOQUES VIVIENDA</t>
  </si>
  <si>
    <t>AREA PRIVADA AFECTA AL USO PUBLICO</t>
  </si>
  <si>
    <t>COSTOS INDIRECTOS</t>
  </si>
  <si>
    <t>Encargo fiduciario</t>
  </si>
  <si>
    <t xml:space="preserve">Diseños y estudios </t>
  </si>
  <si>
    <t>Gerencia del proyecto</t>
  </si>
  <si>
    <t>Plan de gestion predial</t>
  </si>
  <si>
    <t>Publicidad</t>
  </si>
  <si>
    <t>Comercializacion y ventas</t>
  </si>
  <si>
    <t>R.P.H. - Escrituracion</t>
  </si>
  <si>
    <t>Licencias, aprobaciones</t>
  </si>
  <si>
    <t>Costos financieros</t>
  </si>
  <si>
    <t>Interventoria</t>
  </si>
  <si>
    <t>Polizas</t>
  </si>
  <si>
    <t>Base Costos Ingresos por Ventas</t>
  </si>
  <si>
    <t>% Participacion sobre el 100%</t>
  </si>
  <si>
    <t>TOTAL PARTICIPACION %</t>
  </si>
  <si>
    <t>CALCULO UTILIDAD</t>
  </si>
  <si>
    <t>UTILIDADES</t>
  </si>
  <si>
    <t>TOTAL INGRESOS</t>
  </si>
  <si>
    <t>TOTAL EGRESOS</t>
  </si>
  <si>
    <t>Valor total ingresos por ventas (VTv)</t>
  </si>
  <si>
    <t>Utilidad (U)</t>
  </si>
  <si>
    <t>COSTO CARGAS DE FORMULACION Y GESTOR PLAN PARCIAL</t>
  </si>
  <si>
    <t>Costos total cargas gestion social (programa de gestion a moradores)</t>
  </si>
  <si>
    <t>Costos total cargas de formulacion gestor plan parcial</t>
  </si>
  <si>
    <t>Total Costos directos de construcción (Cc)</t>
  </si>
  <si>
    <t>Costo total del urbanismo</t>
  </si>
  <si>
    <t>VALOR RESIDUAL DEL SUELO BRUTO</t>
  </si>
  <si>
    <t>Valor inicial</t>
  </si>
  <si>
    <t>Mayor valor del suelo</t>
  </si>
  <si>
    <t>Total Costos Indirectos de construcción (Cic)</t>
  </si>
  <si>
    <t>Valor residual del suelo</t>
  </si>
  <si>
    <t>VALOR m2</t>
  </si>
  <si>
    <t>DETALLE VALOR DE SUELO</t>
  </si>
  <si>
    <t>VALOR DEL SUELO URBANIZADO (1+2)-(3+4+5)</t>
  </si>
  <si>
    <t>Ingresos por rescuperacion IVA (3% sobre ventas VIS)</t>
  </si>
  <si>
    <r>
      <t xml:space="preserve">% De distribucion de las cargas por ventas </t>
    </r>
    <r>
      <rPr>
        <b/>
        <sz val="11"/>
        <color theme="1"/>
        <rFont val="Arial"/>
        <family val="2"/>
      </rPr>
      <t>(1)</t>
    </r>
  </si>
  <si>
    <t>RESUMEN DE AREAS - UA1</t>
  </si>
  <si>
    <t>RESUMEN DE AREAS - UA2</t>
  </si>
  <si>
    <t>INDICE AREA PRIVADA AFECTA AL USO PUBLICO</t>
  </si>
  <si>
    <r>
      <rPr>
        <b/>
        <sz val="10"/>
        <color theme="1"/>
        <rFont val="Arial"/>
        <family val="2"/>
      </rPr>
      <t>(Cs)</t>
    </r>
    <r>
      <rPr>
        <sz val="10"/>
        <color theme="1"/>
        <rFont val="Arial"/>
        <family val="2"/>
      </rPr>
      <t xml:space="preserve"> Areas cesion suelo</t>
    </r>
  </si>
  <si>
    <r>
      <rPr>
        <b/>
        <sz val="10"/>
        <color theme="1"/>
        <rFont val="Arial"/>
        <family val="2"/>
      </rPr>
      <t>(Vref)</t>
    </r>
    <r>
      <rPr>
        <sz val="10"/>
        <color theme="1"/>
        <rFont val="Arial"/>
        <family val="2"/>
      </rPr>
      <t xml:space="preserve"> Valor de referencia</t>
    </r>
  </si>
  <si>
    <r>
      <rPr>
        <b/>
        <sz val="10"/>
        <color theme="1"/>
        <rFont val="Arial"/>
        <family val="2"/>
      </rPr>
      <t>(0,064</t>
    </r>
    <r>
      <rPr>
        <sz val="10"/>
        <color theme="1"/>
        <rFont val="Arial"/>
        <family val="2"/>
      </rPr>
      <t>) Factor</t>
    </r>
  </si>
  <si>
    <t>COSTOS CARGAS DE URBANISMO POR DISTRIBUCION SEGÚN MODELO</t>
  </si>
  <si>
    <t>TOTAL COSTOS DIRECTO URBANISMO</t>
  </si>
  <si>
    <t>COSTOS CARGAS DE GESTION SOCIAL</t>
  </si>
  <si>
    <t>COSTOS CARGAS FORMULACION PLAN PARCIAL</t>
  </si>
  <si>
    <t>Ingresos por recuperacion IVA (3% sobre ventas VIS)</t>
  </si>
  <si>
    <t>Area a demoler manzanas (Aporte m2 a area de verificación)</t>
  </si>
  <si>
    <t>Diferencia - Porcentaje de incremento</t>
  </si>
  <si>
    <t>TOTAL AREA DE VERIFICACION DE PLAN PARCIAL</t>
  </si>
  <si>
    <t xml:space="preserve">AREA BRUTA </t>
  </si>
  <si>
    <t>CUADRO DE AREAS TRAZADO GENERAL URBANO</t>
  </si>
  <si>
    <t>CESIONES VIAS Y ESPACIO PUBLICO DE PROXIMIDAD (Min. 65% de Area de verificación)</t>
  </si>
  <si>
    <t>CALCULO ESTACIONAMIENTOS</t>
  </si>
  <si>
    <t>AREA EQUIPAMIENTO PRIVADO PARA VIS</t>
  </si>
  <si>
    <t>CALCULO EQUIPAMIENTO PRIVADO</t>
  </si>
  <si>
    <t>SUBTOTAL AREA CONSTRUIDA VENDIBLE</t>
  </si>
  <si>
    <t>AREA PRIVADA OCUPADA EN PRIMER PISO</t>
  </si>
  <si>
    <t>RESUMEN COSTOS CARGAS PLAN PARCIAL</t>
  </si>
  <si>
    <t>COSTOS DIRECTO URBANISMO</t>
  </si>
  <si>
    <t>TOTALES COSTOS CARGAS</t>
  </si>
  <si>
    <t>REPARTO DE CARGAS Y BENEFICIOS POR PARTICIPACION EN VENTAS</t>
  </si>
  <si>
    <t xml:space="preserve">HOGARES </t>
  </si>
  <si>
    <t>HABITANTES</t>
  </si>
  <si>
    <t>CABIDA</t>
  </si>
  <si>
    <t>HAB./VIV.</t>
  </si>
  <si>
    <t>DISTRIBUCION DE USOS EN AREA UTIL DEL PLAN PARCIAL</t>
  </si>
  <si>
    <t>PARTICIPACION DE LAS UNIDADES EN SUELO PUBLICO Y PRIVADO</t>
  </si>
  <si>
    <t>3.</t>
  </si>
  <si>
    <t>3.1</t>
  </si>
  <si>
    <t>3.2</t>
  </si>
  <si>
    <t>4.1</t>
  </si>
  <si>
    <t>4.2</t>
  </si>
  <si>
    <t>Parroquia Santa Gertrudis</t>
  </si>
  <si>
    <t xml:space="preserve"> UNIDADES PARA VENTA</t>
  </si>
  <si>
    <t>CONSOLIDADO COSTOS DIRECTOS - TOTAL PLAN PARCIAL</t>
  </si>
  <si>
    <t>COSTOS DIRECTOS POR m2</t>
  </si>
  <si>
    <t>CALCULO DE VALOR DE PRECIO DE m2 DE SUELO</t>
  </si>
  <si>
    <t xml:space="preserve"> Manzana</t>
  </si>
  <si>
    <t>Cantidad Predios</t>
  </si>
  <si>
    <t>Área Útil Suelo (m2)</t>
  </si>
  <si>
    <t>Área Construida (m2)</t>
  </si>
  <si>
    <t>Vr. m2 Comercial Manzana</t>
  </si>
  <si>
    <t>Vr. Total Manzana</t>
  </si>
  <si>
    <t>Vr. m2 Terreno</t>
  </si>
  <si>
    <t>Vr. Total Terreno</t>
  </si>
  <si>
    <t>Vr. Total Edificaciones</t>
  </si>
  <si>
    <t>CALCULO DE VIVIENDAS PARA PAGO EN ESPECIE POR APORTE DE SUELO</t>
  </si>
  <si>
    <t>CLASIFICACION COMERCIOS Y SERVICIOS BASICOS</t>
  </si>
  <si>
    <t>CLASIFICACION SERVICIOS DE OFICINAS</t>
  </si>
  <si>
    <t>AREA CONSTRUIDA VENDIBLE COMERCIO TIPO 3 Comercios y servicios basicos</t>
  </si>
  <si>
    <t>AREA CONSTRUIDA VENDIBLE DOTACIONAL  Equipamiantos Tipo 2</t>
  </si>
  <si>
    <t>AREA CONSTRUIDA VENDIBLE COMERCIO TIPO 3 Servicios de oficinas</t>
  </si>
  <si>
    <t>RESIDENCIAL VIS</t>
  </si>
  <si>
    <t>RESIDENCIAL MULTIFAMILIAR VIS</t>
  </si>
  <si>
    <t>RESIDENCIAL MULTIFAMILIAR NO VIS</t>
  </si>
  <si>
    <t>DOTACIONAL Equipamiento Tipo 2 - sobre plaza pública</t>
  </si>
  <si>
    <t>TOTAL  RESIDENCIAL</t>
  </si>
  <si>
    <t>TOTAL DOTACIONAL</t>
  </si>
  <si>
    <t>Area afecta al uso publico rampas acceso parquederos</t>
  </si>
  <si>
    <t>Area afecta al uso publico circulaciones entre bloques vivienda</t>
  </si>
  <si>
    <t>Menor Valor</t>
  </si>
  <si>
    <t>Mayor Valor</t>
  </si>
  <si>
    <t>DOTACIONAL TIPO 2</t>
  </si>
  <si>
    <t>RESIDENCIAL NO VIS</t>
  </si>
  <si>
    <t>Valor construccion sotanos parquederos equipamiento público</t>
  </si>
  <si>
    <t>USOS COMERCIALES Y DE SERVICIOS TIPO 3 - UA2</t>
  </si>
  <si>
    <t>A.P.A.U.P. ACCESO A PARQUEADEROS SOTERRADOS</t>
  </si>
  <si>
    <t>A.P.A.U.P.  CIRCULACION PEATONAL - DILATACION TORRES VIVIENDA</t>
  </si>
  <si>
    <t xml:space="preserve">RESIDENCIAL VIS + COMERCIAL Y DE SERVICIOS TIPO 2 </t>
  </si>
  <si>
    <t>RESIDENCIAL NO VIS + COMERCIAL Y DE SERVICIOS TIPO 1</t>
  </si>
  <si>
    <t>COMERCIAL Y DE SERVICIOS TIPO 3</t>
  </si>
  <si>
    <t>Balance</t>
  </si>
  <si>
    <t>TOTAL AREA PUBLICA</t>
  </si>
  <si>
    <t>TOTAL AREA PRIVADA</t>
  </si>
  <si>
    <t>Residencial VIS</t>
  </si>
  <si>
    <t>Residencial NO VIS</t>
  </si>
  <si>
    <t>Dotacional Tipo 2</t>
  </si>
  <si>
    <t>Comercio y servicios Tipo 3 - Comercios y servicios básicos</t>
  </si>
  <si>
    <t>DOTACIONAL Equipamiento Tipo 2 - Sobre plaza pública</t>
  </si>
  <si>
    <r>
      <t>% De distribucion de las cargas según modelo (</t>
    </r>
    <r>
      <rPr>
        <i/>
        <sz val="11"/>
        <color theme="1"/>
        <rFont val="Arial"/>
        <family val="2"/>
      </rPr>
      <t>Hoja 05 Carg</t>
    </r>
    <r>
      <rPr>
        <sz val="11"/>
        <color theme="1"/>
        <rFont val="Arial"/>
        <family val="2"/>
      </rPr>
      <t>)</t>
    </r>
  </si>
  <si>
    <t>CANTIDADES DE PREDIOS Y HOGARES PARA POLITICA DE MORADORES</t>
  </si>
  <si>
    <t>ETAPA 1</t>
  </si>
  <si>
    <t>HOGARES</t>
  </si>
  <si>
    <t>ETAPA 2</t>
  </si>
  <si>
    <t>Subtotal</t>
  </si>
  <si>
    <t>UAU 1</t>
  </si>
  <si>
    <t>UAU 2</t>
  </si>
  <si>
    <t>VIAS</t>
  </si>
  <si>
    <t>PARQUES</t>
  </si>
  <si>
    <t>TOTAL AREA SUELO PUBLICO</t>
  </si>
  <si>
    <t>UAU</t>
  </si>
  <si>
    <t>E.P. TOTAL</t>
  </si>
  <si>
    <t>E.P. EFECTIVO</t>
  </si>
  <si>
    <t>E.P. VIAS</t>
  </si>
  <si>
    <t>DETALLE E.P.</t>
  </si>
  <si>
    <t>PARTICIPACION DE LAS UAU EN SUELO PUBLICO Y PRIVADO</t>
  </si>
  <si>
    <t>AREA PUBLICA</t>
  </si>
  <si>
    <t>AREA PRIVADA</t>
  </si>
  <si>
    <t>AREA DE VERIFICACION P.P.</t>
  </si>
  <si>
    <t>USO COMERCIAL Y DE SERVICIOS TIPO 1</t>
  </si>
  <si>
    <t>P.P.</t>
  </si>
  <si>
    <t>AREA PROMEDIO</t>
  </si>
  <si>
    <t>USO COMERCIAL Y DE SERVICIOS TIPO 2</t>
  </si>
  <si>
    <r>
      <t xml:space="preserve">COMERCIO Y SERVICIOS TIPO 1 </t>
    </r>
    <r>
      <rPr>
        <sz val="8"/>
        <color theme="1"/>
        <rFont val="Arial"/>
        <family val="2"/>
      </rPr>
      <t>Comercios y servicios básicos - bajo bloques de vivienda</t>
    </r>
  </si>
  <si>
    <r>
      <t xml:space="preserve">COMERCIO Y SERVICIOS TIPO 3 </t>
    </r>
    <r>
      <rPr>
        <sz val="8"/>
        <color theme="1"/>
        <rFont val="Arial"/>
        <family val="2"/>
      </rPr>
      <t>Comercios y servicios básico - sobre plaza pública</t>
    </r>
  </si>
  <si>
    <r>
      <t xml:space="preserve">COMERCIO Y SERVICIOS TIPO 3 </t>
    </r>
    <r>
      <rPr>
        <sz val="8"/>
        <color theme="1"/>
        <rFont val="Arial"/>
        <family val="2"/>
      </rPr>
      <t>Servicios de oficinas - sobre plaza pública</t>
    </r>
  </si>
  <si>
    <t>TOTAL USO COMERCIAL Y DE SERVICIOS TIPO 3 - PLAN PARCIAL</t>
  </si>
  <si>
    <t>USO COMERCIAL Y DE SERVICIOS TIPO 3 - UAU 2</t>
  </si>
  <si>
    <t>USO COMERCIAL Y DE SERVICIOS TIPO 3 - UAU 1</t>
  </si>
  <si>
    <t>3 al 7</t>
  </si>
  <si>
    <r>
      <t xml:space="preserve">COMERCIO Y SERVICIOS TIPO 2 </t>
    </r>
    <r>
      <rPr>
        <sz val="8"/>
        <color theme="1"/>
        <rFont val="Arial"/>
        <family val="2"/>
      </rPr>
      <t>Comercios y servicios básicos - bajo bloques de vivienda</t>
    </r>
  </si>
  <si>
    <t>2 al 14</t>
  </si>
  <si>
    <r>
      <t xml:space="preserve">DOTACIONAL Equipamiento Tipo 2 - </t>
    </r>
    <r>
      <rPr>
        <sz val="8"/>
        <color theme="1"/>
        <rFont val="Arial"/>
        <family val="2"/>
      </rPr>
      <t>sobre plaza pública</t>
    </r>
  </si>
  <si>
    <t>SUBTOTALES UAU 1</t>
  </si>
  <si>
    <t>SUBTOTALES UAU 2</t>
  </si>
  <si>
    <t>Area vendible</t>
  </si>
  <si>
    <t>Areas comunes</t>
  </si>
  <si>
    <t>SOTANOS (PARQUEADEROS)</t>
  </si>
  <si>
    <t xml:space="preserve">COMERCIO Y SERVICIOS TIPO 1 Y 2 </t>
  </si>
  <si>
    <t>Comercios y servicios básicos</t>
  </si>
  <si>
    <t>COMERCIO Y SERVICIOS TIPO 3</t>
  </si>
  <si>
    <t>Servicios de oficinas</t>
  </si>
  <si>
    <t>45 m2</t>
  </si>
  <si>
    <t>64 m2</t>
  </si>
  <si>
    <t>Centro de bienestar - Caja de Compensación</t>
  </si>
  <si>
    <t>TOTAL RESIDENCIAL</t>
  </si>
  <si>
    <t>TOTAL COMERCIO Y SERVICIOS</t>
  </si>
  <si>
    <t>SOTANOS - Parqueadero</t>
  </si>
  <si>
    <t>TOTAL SOTANOS</t>
  </si>
  <si>
    <r>
      <t xml:space="preserve">COMERCIO Y SERVICIO TIPO 1 Comercios y servicios básicos - </t>
    </r>
    <r>
      <rPr>
        <i/>
        <sz val="8"/>
        <color theme="1"/>
        <rFont val="Arial"/>
        <family val="2"/>
      </rPr>
      <t>Bajo bloques de vivienda</t>
    </r>
  </si>
  <si>
    <r>
      <t xml:space="preserve">COMERCIO Y SERVICIO TIPO 2 Comercios y servicios básico - </t>
    </r>
    <r>
      <rPr>
        <i/>
        <sz val="8"/>
        <color theme="1"/>
        <rFont val="Arial"/>
        <family val="2"/>
      </rPr>
      <t>Bajo bloques de vivienda</t>
    </r>
  </si>
  <si>
    <r>
      <t xml:space="preserve">COMERCIO Y SERVICIO TIPO 3 Comercio y servicios - </t>
    </r>
    <r>
      <rPr>
        <i/>
        <sz val="8"/>
        <color theme="1"/>
        <rFont val="Arial"/>
        <family val="2"/>
      </rPr>
      <t>Sobre plaza pública</t>
    </r>
  </si>
  <si>
    <r>
      <t xml:space="preserve">COMERCIO Y SERVICIO TIPO 3 Servicios de oficinas - </t>
    </r>
    <r>
      <rPr>
        <i/>
        <sz val="8"/>
        <color theme="1"/>
        <rFont val="Arial"/>
        <family val="2"/>
      </rPr>
      <t>Sobre plaza pública</t>
    </r>
  </si>
  <si>
    <r>
      <t xml:space="preserve">DOTACIONAL Equipamiento Tipo 2 - </t>
    </r>
    <r>
      <rPr>
        <i/>
        <sz val="8"/>
        <color theme="1"/>
        <rFont val="Arial"/>
        <family val="2"/>
      </rPr>
      <t>Sobre plaza pública</t>
    </r>
  </si>
  <si>
    <t>SOTANOS - Parqueaderos</t>
  </si>
  <si>
    <t>Comercio y servicios Tipo 1 - Comercios y servicios básicos</t>
  </si>
  <si>
    <t>Comercio y servicios Tipo 2 - Comercios y servicios básicos</t>
  </si>
  <si>
    <t>Comercio y servicios Tipo 3 - Servicios de oficinas</t>
  </si>
  <si>
    <t>SUBTOTAL RESIDENCIAL</t>
  </si>
  <si>
    <t>SUBTOTAL COMERCIO Y SERVICIOS</t>
  </si>
  <si>
    <t>SUBTOTAL DOTACIONAL</t>
  </si>
  <si>
    <r>
      <t xml:space="preserve">COMERCIO Y SERVICIO TIPO 2 Comercios y servicios básicos - </t>
    </r>
    <r>
      <rPr>
        <i/>
        <sz val="8"/>
        <color theme="1"/>
        <rFont val="Arial"/>
        <family val="2"/>
      </rPr>
      <t>Bajo bloques de vivienda</t>
    </r>
  </si>
  <si>
    <r>
      <t xml:space="preserve">COMERCIO Y SERVICIO TIPO 3 Comercios y servicios básico - </t>
    </r>
    <r>
      <rPr>
        <i/>
        <sz val="8"/>
        <color theme="1"/>
        <rFont val="Arial"/>
        <family val="2"/>
      </rPr>
      <t>Sobre plaza pública</t>
    </r>
  </si>
  <si>
    <t>VENTAS UAU 1</t>
  </si>
  <si>
    <t>VENTAS UAU 2</t>
  </si>
  <si>
    <t>TOTAL VENTAS P.P.</t>
  </si>
  <si>
    <t>CUADRO DE AREAS SUELO PUBLICO EXISTENTE</t>
  </si>
  <si>
    <t>PARQUE VECINAL AURES II</t>
  </si>
  <si>
    <t>PARQUE VECINAL LA CONCORDIA</t>
  </si>
  <si>
    <t>Suelo privado aportado</t>
  </si>
  <si>
    <t>Altura promedio</t>
  </si>
  <si>
    <t>Área construida vendible</t>
  </si>
  <si>
    <t>COSTOS DIRECTOS - UAU 1</t>
  </si>
  <si>
    <t>COSTOS DIRECTOS - UAU 2</t>
  </si>
  <si>
    <t>VALOR RESIDUAL DEL SUELO UTIL (6-8-9-10)</t>
  </si>
  <si>
    <t>VALOR DE TRANSFERECIAS (11-15)</t>
  </si>
  <si>
    <r>
      <t xml:space="preserve">Valor residual del suelo por m2 - antes del reparto </t>
    </r>
    <r>
      <rPr>
        <b/>
        <sz val="11"/>
        <color theme="1"/>
        <rFont val="Arial"/>
        <family val="2"/>
      </rPr>
      <t>(11/12)</t>
    </r>
  </si>
  <si>
    <t xml:space="preserve">Valor residual del suelo por m2 - despues del reparto </t>
  </si>
  <si>
    <r>
      <t xml:space="preserve">Valor del suelo privado - despues del reparto </t>
    </r>
    <r>
      <rPr>
        <b/>
        <sz val="11"/>
        <color theme="1"/>
        <rFont val="Arial"/>
        <family val="2"/>
      </rPr>
      <t>(12*14)</t>
    </r>
    <r>
      <rPr>
        <sz val="11"/>
        <color theme="1"/>
        <rFont val="Arial"/>
        <family val="2"/>
      </rPr>
      <t xml:space="preserve"> </t>
    </r>
  </si>
  <si>
    <t>UND DE VIVIENDA</t>
  </si>
  <si>
    <r>
      <t xml:space="preserve">COMERCIO Y SERVICIO TIPO 2 - </t>
    </r>
    <r>
      <rPr>
        <sz val="8"/>
        <color theme="1"/>
        <rFont val="Arial"/>
        <family val="2"/>
      </rPr>
      <t>Comercios y servicios basicos</t>
    </r>
  </si>
  <si>
    <r>
      <t xml:space="preserve">COMERCIO Y SERVICIO TIPO 1 - </t>
    </r>
    <r>
      <rPr>
        <sz val="8"/>
        <color theme="1"/>
        <rFont val="Arial"/>
        <family val="2"/>
      </rPr>
      <t>Comercios y servicios basicos</t>
    </r>
  </si>
  <si>
    <r>
      <t xml:space="preserve">COMERCIO Y SERVICIO TIPO 3 - </t>
    </r>
    <r>
      <rPr>
        <sz val="8"/>
        <color theme="1"/>
        <rFont val="Arial"/>
        <family val="2"/>
      </rPr>
      <t>Comercios y servicios basicos</t>
    </r>
  </si>
  <si>
    <r>
      <t xml:space="preserve">COMERCIO Y SERVICIO TIPO 3 - </t>
    </r>
    <r>
      <rPr>
        <sz val="8"/>
        <color theme="1"/>
        <rFont val="Arial"/>
        <family val="2"/>
      </rPr>
      <t>Servicios de oficinas</t>
    </r>
  </si>
  <si>
    <r>
      <t xml:space="preserve">A.P.A.U.P. </t>
    </r>
    <r>
      <rPr>
        <sz val="8"/>
        <color theme="1"/>
        <rFont val="Arial"/>
        <family val="2"/>
      </rPr>
      <t>Acceso parqueaderos Sot.</t>
    </r>
  </si>
  <si>
    <r>
      <t xml:space="preserve">A.P.A.U.P. </t>
    </r>
    <r>
      <rPr>
        <sz val="8"/>
        <color theme="1"/>
        <rFont val="Arial"/>
        <family val="2"/>
      </rPr>
      <t>Circ. entre bloques Viv.</t>
    </r>
  </si>
  <si>
    <t>APROVECHAMIENTOS - UAU 1</t>
  </si>
  <si>
    <t>APROVECHAMIENTOS - UAU 2</t>
  </si>
  <si>
    <t>CONSOLIDADO APROVECHAMIENTOS - TOTAL PLAN PARCIAL</t>
  </si>
  <si>
    <t>USO VIVIENDA UAU 1</t>
  </si>
  <si>
    <t>UA U</t>
  </si>
  <si>
    <t>USO VIVIENDA UAU 2</t>
  </si>
  <si>
    <t>2A</t>
  </si>
  <si>
    <t>2B</t>
  </si>
  <si>
    <t>2C</t>
  </si>
  <si>
    <r>
      <t xml:space="preserve">EQUIPAMIENTO </t>
    </r>
    <r>
      <rPr>
        <sz val="8"/>
        <color theme="1"/>
        <rFont val="Arial"/>
        <family val="2"/>
      </rPr>
      <t>(3% sobre Área de verificación)</t>
    </r>
  </si>
  <si>
    <r>
      <t>TOTAL CESIONES</t>
    </r>
    <r>
      <rPr>
        <b/>
        <sz val="8"/>
        <color theme="1"/>
        <rFont val="Arial"/>
        <family val="2"/>
      </rPr>
      <t xml:space="preserve"> (Espacio público, Vías y Equip. Pub.)</t>
    </r>
  </si>
  <si>
    <r>
      <t xml:space="preserve">AREA UTIL PROPUESTA </t>
    </r>
    <r>
      <rPr>
        <b/>
        <sz val="8"/>
        <color theme="1"/>
        <rFont val="Arial"/>
        <family val="2"/>
      </rPr>
      <t>(Según cabida propuesta)</t>
    </r>
  </si>
  <si>
    <t>AREA CONSTRUIDA VENDIBLE COMERCIO TIPO 1 Comercios y servicios basicos</t>
  </si>
  <si>
    <t>AREA CONSTRUIDA VENDIBLE COMERCIO TIPO 2 Comercios y servicios basicos</t>
  </si>
  <si>
    <r>
      <t xml:space="preserve">CESIONES MINIMAS SEGUN POT </t>
    </r>
    <r>
      <rPr>
        <b/>
        <i/>
        <sz val="8"/>
        <color theme="1"/>
        <rFont val="Arial"/>
        <family val="2"/>
      </rPr>
      <t>(E.P., Vías y Equip. P.)</t>
    </r>
  </si>
  <si>
    <r>
      <t xml:space="preserve">AREA UTIL MAXIMA </t>
    </r>
    <r>
      <rPr>
        <b/>
        <i/>
        <sz val="8"/>
        <color theme="1"/>
        <rFont val="Arial"/>
        <family val="2"/>
      </rPr>
      <t>(Según norma)</t>
    </r>
  </si>
  <si>
    <t>CESION EN SUELO</t>
  </si>
  <si>
    <t>PROPUESTA EN CONSTRUCCION</t>
  </si>
  <si>
    <t>EQUIPAMIENTOS</t>
  </si>
  <si>
    <t>CESION SUELO 3% AREA VERIFICACION P.P.</t>
  </si>
  <si>
    <t>CENTRO BIENESTAR INTEGRAL - CAJA COMPENSACION</t>
  </si>
  <si>
    <t xml:space="preserve">EQ. PUB. SOBRE CESION - 2 PISOS MAS SOTANO </t>
  </si>
  <si>
    <t xml:space="preserve"> TOTAL PREDIOS</t>
  </si>
  <si>
    <t>TOTAL HOGARES</t>
  </si>
  <si>
    <t>APORTES EN SUELO POR UAU</t>
  </si>
  <si>
    <t>APORTE AREA VERIFICACION</t>
  </si>
  <si>
    <t>APORTE AREA SUELO PRIVADO</t>
  </si>
  <si>
    <r>
      <t xml:space="preserve">Area útil máxima </t>
    </r>
    <r>
      <rPr>
        <b/>
        <i/>
        <sz val="8"/>
        <color theme="1"/>
        <rFont val="Arial"/>
        <family val="2"/>
      </rPr>
      <t>(según la norma)</t>
    </r>
  </si>
  <si>
    <t>% PARTICIPACION</t>
  </si>
  <si>
    <t>COSTO CARGAS DE FORMULACION Y GESTOR P.P.</t>
  </si>
  <si>
    <t xml:space="preserve"> % PARTICIPACION</t>
  </si>
  <si>
    <t>% INCIDENCIA</t>
  </si>
  <si>
    <t>VALOR DE TRANSFERENCIAS (11+15)</t>
  </si>
  <si>
    <t xml:space="preserve">APORTE SUELO AREA UTIL </t>
  </si>
  <si>
    <t>ALTURA DE LAS EDIFICACIONES</t>
  </si>
  <si>
    <t>LOTE</t>
  </si>
  <si>
    <t>1 PISO</t>
  </si>
  <si>
    <t>2 PISOS</t>
  </si>
  <si>
    <t>3 PISOS</t>
  </si>
  <si>
    <t>4 PISOS</t>
  </si>
  <si>
    <t>5 PISOS</t>
  </si>
  <si>
    <t>Espacio Público Parques</t>
  </si>
  <si>
    <t>Espacio Público Vías</t>
  </si>
  <si>
    <t xml:space="preserve">USOS </t>
  </si>
  <si>
    <t>Vivienda</t>
  </si>
  <si>
    <t>Ind. Artesanal</t>
  </si>
  <si>
    <t>Comercio</t>
  </si>
  <si>
    <t>Servicios</t>
  </si>
  <si>
    <t>Dotacional</t>
  </si>
  <si>
    <t>VALOR DEL m2 DE OBRAS DE URBANISMO</t>
  </si>
  <si>
    <t>Valor m2 urbanismo area espacio publico</t>
  </si>
  <si>
    <t>Valor m2 urbanismo area bruta</t>
  </si>
  <si>
    <t>AREA DE MANEJO DIFERENCIADO A.M.D.</t>
  </si>
  <si>
    <t>Cantidad de predios aportados</t>
  </si>
  <si>
    <r>
      <t>Valor promedio a remunerar</t>
    </r>
    <r>
      <rPr>
        <b/>
        <sz val="11"/>
        <color theme="1"/>
        <rFont val="Arial"/>
        <family val="2"/>
      </rPr>
      <t xml:space="preserve"> +(1/2)</t>
    </r>
  </si>
  <si>
    <t>Valor unidad de vivienda VIS</t>
  </si>
  <si>
    <r>
      <t xml:space="preserve">Equivalencia a remunerar en viviendas VIS </t>
    </r>
    <r>
      <rPr>
        <b/>
        <sz val="11"/>
        <color theme="1"/>
        <rFont val="Arial"/>
        <family val="2"/>
      </rPr>
      <t>+(3/4)</t>
    </r>
  </si>
  <si>
    <r>
      <t xml:space="preserve">Cantidad de viviendas para pago por suelo </t>
    </r>
    <r>
      <rPr>
        <b/>
        <sz val="11"/>
        <color theme="1"/>
        <rFont val="Arial"/>
        <family val="2"/>
      </rPr>
      <t>+(2*5)</t>
    </r>
  </si>
  <si>
    <t>Hogares a reubicar</t>
  </si>
  <si>
    <t>DOT T2</t>
  </si>
  <si>
    <t>CyS T1 Com/Serv B</t>
  </si>
  <si>
    <t>CyS T2 Com/Serv B</t>
  </si>
  <si>
    <t>CyS T3 Com/Serv B</t>
  </si>
  <si>
    <t>CyS T3 Serv. Ofic.</t>
  </si>
  <si>
    <t>RES. VIS</t>
  </si>
  <si>
    <t>RES. NO VIS</t>
  </si>
  <si>
    <t>UTILIDAD PROMEDIO</t>
  </si>
  <si>
    <t>DILATACIONES ENTRE BLOQUES</t>
  </si>
  <si>
    <t>Índice de construcción efectivo Ice</t>
  </si>
  <si>
    <t xml:space="preserve">Índice de ocupación (Au/Av) </t>
  </si>
  <si>
    <t>Área útil (huella)</t>
  </si>
  <si>
    <t>AREA DE MANEJO DIFERENCIADO</t>
  </si>
  <si>
    <t>A.P.A.U.P.</t>
  </si>
  <si>
    <t>EQ. PRIV. PARA USO RESIDENCIAL</t>
  </si>
  <si>
    <t>Servicios comunales en areas construidas</t>
  </si>
  <si>
    <t>Zonas verdes y areas libres (cubiertas verdes)</t>
  </si>
  <si>
    <t>Parqueaderos para  bicicletas y vehiculos cero emisión (sotanos)</t>
  </si>
  <si>
    <t>ENTRADA PARQUEADEROS SOTERRADOS</t>
  </si>
  <si>
    <t>CUADRO DE AREAS PROPIEDAD PRIVADA A.M.D.</t>
  </si>
  <si>
    <t>REPARTO DE CARGAS Y BENEFICIOS SEGUN MODELO URBANÍSTICO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</si>
</sst>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164" formatCode="_ &quot;$&quot;* #,##0.00_ ;_ &quot;$&quot;* \-#,##0.00_ ;_ &quot;$&quot;* &quot;-&quot;??_ ;_ @_ "/>
    <numFmt numFmtId="165" formatCode="_ * #,##0.00_ ;_ * \-#,##0.00_ ;_ * &quot;-&quot;??_ ;_ @_ "/>
    <numFmt numFmtId="166" formatCode="#,##0.0000"/>
    <numFmt numFmtId="167" formatCode="#,##0.00\ &quot;m2&quot;"/>
    <numFmt numFmtId="168" formatCode="#,##0\ &quot;m2&quot;"/>
    <numFmt numFmtId="169" formatCode="_ &quot;$&quot;* #,##0_ ;_ &quot;$&quot;* \-#,##0_ ;_ &quot;$&quot;* &quot;-&quot;??_ ;_ @_ "/>
    <numFmt numFmtId="170" formatCode="0.0%"/>
    <numFmt numFmtId="171" formatCode="_(&quot;$&quot;\ * #,##0_);_(&quot;$&quot;\ * \(#,##0\);_(&quot;$&quot;\ * &quot;-&quot;??_);_(@_)"/>
    <numFmt numFmtId="172" formatCode="&quot;$&quot;\ #,##0_);[Red]\(&quot;$&quot;\ #,##0\)"/>
    <numFmt numFmtId="173" formatCode="0.0"/>
    <numFmt numFmtId="174" formatCode="#,##0.0"/>
    <numFmt numFmtId="175" formatCode="0\ &quot;Und&quot;"/>
    <numFmt numFmtId="176" formatCode="0.00\ &quot;m2&quot;"/>
    <numFmt numFmtId="177" formatCode="0\ &quot;m2&quot;"/>
    <numFmt numFmtId="178" formatCode="_ &quot;$&quot;* #,##0.00000_ ;_ &quot;$&quot;* \-#,##0.00000_ ;_ &quot;$&quot;* &quot;-&quot;??_ ;_ @_ "/>
    <numFmt numFmtId="179" formatCode="_(&quot;$&quot;\ * #,##0.00_);_(&quot;$&quot;\ * \(#,##0.00\);_(&quot;$&quot;\ * &quot;-&quot;??_);_(@_)"/>
    <numFmt numFmtId="180" formatCode="_ &quot;$&quot;* #,##0.0000000_ ;_ &quot;$&quot;* \-#,##0.0000000_ ;_ &quot;$&quot;* &quot;-&quot;??_ ;_ @_ "/>
    <numFmt numFmtId="181" formatCode="_-&quot;$&quot;\ * #,##0_-;\-&quot;$&quot;\ * #,##0_-;_-&quot;$&quot;\ * &quot;-&quot;??_-;_-@_-"/>
    <numFmt numFmtId="182" formatCode="#,##0.00\ &quot;Und&quot;"/>
    <numFmt numFmtId="183" formatCode="#,##0\ &quot;Und&quot;"/>
    <numFmt numFmtId="184" formatCode="0.000"/>
    <numFmt numFmtId="185" formatCode="_ &quot;$&quot;* #,##0.0000_ ;_ &quot;$&quot;* \-#,##0.0000_ ;_ &quot;$&quot;* &quot;-&quot;??_ ;_ @_ "/>
    <numFmt numFmtId="186" formatCode="#,##0.0\ &quot;Hab&quot;"/>
    <numFmt numFmtId="187" formatCode="#,##0\ &quot;Hab&quot;"/>
    <numFmt numFmtId="188" formatCode="0.0000"/>
    <numFmt numFmtId="189" formatCode="#,##0.0000\ &quot;m2&quot;"/>
    <numFmt numFmtId="190" formatCode="#,##0.00\ &quot;Hab&quot;"/>
    <numFmt numFmtId="191" formatCode="#,##0.000\ &quot;m2&quot;"/>
    <numFmt numFmtId="192" formatCode="#,##0.000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i/>
      <sz val="11"/>
      <color theme="1"/>
      <name val="Century Gothic"/>
      <family val="2"/>
    </font>
    <font>
      <b/>
      <sz val="18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Arial"/>
      <family val="2"/>
    </font>
    <font>
      <b/>
      <sz val="11"/>
      <color theme="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4"/>
      <color theme="1"/>
      <name val="Arial"/>
      <family val="2"/>
    </font>
    <font>
      <b/>
      <sz val="10"/>
      <color theme="4" tint="-0.249977111117893"/>
      <name val="Arial"/>
      <family val="2"/>
    </font>
    <font>
      <b/>
      <sz val="11"/>
      <name val="Arial"/>
      <family val="2"/>
    </font>
    <font>
      <b/>
      <i/>
      <sz val="11"/>
      <color theme="1"/>
      <name val="Arial"/>
      <family val="2"/>
    </font>
    <font>
      <b/>
      <sz val="13.5"/>
      <color theme="0"/>
      <name val="Arial"/>
      <family val="2"/>
    </font>
    <font>
      <b/>
      <u/>
      <sz val="16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i/>
      <sz val="11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11"/>
      <color rgb="FF000000"/>
      <name val="Arial"/>
      <family val="2"/>
    </font>
    <font>
      <i/>
      <sz val="8"/>
      <color theme="1"/>
      <name val="Arial"/>
      <family val="2"/>
    </font>
    <font>
      <sz val="9"/>
      <name val="Arial"/>
      <family val="2"/>
    </font>
    <font>
      <b/>
      <i/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</fills>
  <borders count="167">
    <border>
      <left/>
      <right/>
      <top/>
      <bottom/>
      <diagonal/>
    </border>
    <border>
      <left style="thick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thin">
        <color rgb="FF0070C0"/>
      </top>
      <bottom style="thick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ck">
        <color rgb="FF0070C0"/>
      </bottom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thick">
        <color rgb="FF0070C0"/>
      </bottom>
      <diagonal/>
    </border>
    <border>
      <left style="thick">
        <color rgb="FF0070C0"/>
      </left>
      <right style="thin">
        <color rgb="FF0070C0"/>
      </right>
      <top style="thick">
        <color rgb="FF0070C0"/>
      </top>
      <bottom/>
      <diagonal/>
    </border>
    <border>
      <left style="thin">
        <color rgb="FF0070C0"/>
      </left>
      <right style="thin">
        <color rgb="FF0070C0"/>
      </right>
      <top style="thick">
        <color rgb="FF0070C0"/>
      </top>
      <bottom/>
      <diagonal/>
    </border>
    <border>
      <left style="thin">
        <color rgb="FF0070C0"/>
      </left>
      <right style="thick">
        <color rgb="FF0070C0"/>
      </right>
      <top style="thick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0070C0"/>
      </right>
      <top style="medium">
        <color rgb="FF0070C0"/>
      </top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medium">
        <color rgb="FF0070C0"/>
      </bottom>
      <diagonal/>
    </border>
    <border>
      <left style="thick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ck">
        <color rgb="FF0070C0"/>
      </right>
      <top/>
      <bottom/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thick">
        <color rgb="FF0070C0"/>
      </right>
      <top style="thin">
        <color rgb="FF0070C0"/>
      </top>
      <bottom style="thin">
        <color rgb="FF0070C0"/>
      </bottom>
      <diagonal/>
    </border>
    <border>
      <left style="thick">
        <color rgb="FF0070C0"/>
      </left>
      <right style="thick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/>
      <top style="medium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auto="1"/>
      </right>
      <top style="medium">
        <color rgb="FF0070C0"/>
      </top>
      <bottom style="thin">
        <color rgb="FF0070C0"/>
      </bottom>
      <diagonal/>
    </border>
    <border>
      <left/>
      <right style="thin">
        <color auto="1"/>
      </right>
      <top style="medium">
        <color rgb="FF0070C0"/>
      </top>
      <bottom style="thin">
        <color rgb="FF0070C0"/>
      </bottom>
      <diagonal/>
    </border>
    <border>
      <left style="thin">
        <color auto="1"/>
      </left>
      <right style="thin">
        <color auto="1"/>
      </right>
      <top style="medium">
        <color rgb="FF0070C0"/>
      </top>
      <bottom style="thin">
        <color rgb="FF0070C0"/>
      </bottom>
      <diagonal/>
    </border>
    <border>
      <left style="thin">
        <color auto="1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medium">
        <color rgb="FF0070C0"/>
      </left>
      <right style="thin">
        <color rgb="FF0070C0"/>
      </right>
      <top/>
      <bottom/>
      <diagonal/>
    </border>
    <border>
      <left style="medium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/>
      <diagonal/>
    </border>
    <border>
      <left style="thin">
        <color rgb="FF0070C0"/>
      </left>
      <right style="medium">
        <color rgb="FF0070C0"/>
      </right>
      <top/>
      <bottom/>
      <diagonal/>
    </border>
    <border>
      <left style="thin">
        <color rgb="FF0070C0"/>
      </left>
      <right style="medium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/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ck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medium">
        <color rgb="FF0070C0"/>
      </right>
      <top style="thin">
        <color rgb="FF0070C0"/>
      </top>
      <bottom/>
      <diagonal/>
    </border>
    <border>
      <left/>
      <right/>
      <top/>
      <bottom style="medium">
        <color rgb="FF0070C0"/>
      </bottom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ck">
        <color rgb="FF0070C0"/>
      </left>
      <right style="thin">
        <color rgb="FF0070C0"/>
      </right>
      <top style="thick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ck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0070C0"/>
      </right>
      <top style="thick">
        <color rgb="FF0070C0"/>
      </top>
      <bottom style="thin">
        <color rgb="FF0070C0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 style="thin">
        <color rgb="FF0070C0"/>
      </right>
      <top style="medium">
        <color rgb="FF0070C0"/>
      </top>
      <bottom/>
      <diagonal/>
    </border>
    <border>
      <left style="thick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ck">
        <color rgb="FF0070C0"/>
      </right>
      <top style="thin">
        <color rgb="FF0070C0"/>
      </top>
      <bottom/>
      <diagonal/>
    </border>
    <border>
      <left style="thick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ck">
        <color rgb="FF0070C0"/>
      </right>
      <top/>
      <bottom style="thin">
        <color rgb="FF0070C0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medium">
        <color rgb="FF0070C0"/>
      </left>
      <right style="thick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ck">
        <color rgb="FF0070C0"/>
      </right>
      <top style="thin">
        <color rgb="FF0070C0"/>
      </top>
      <bottom/>
      <diagonal/>
    </border>
    <border>
      <left style="medium">
        <color rgb="FF0070C0"/>
      </left>
      <right style="thick">
        <color rgb="FF0070C0"/>
      </right>
      <top/>
      <bottom style="thin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ck">
        <color rgb="FF0070C0"/>
      </right>
      <top style="thin">
        <color rgb="FF0070C0"/>
      </top>
      <bottom style="medium">
        <color rgb="FF0070C0"/>
      </bottom>
      <diagonal/>
    </border>
    <border>
      <left style="thick">
        <color rgb="FF0070C0"/>
      </left>
      <right/>
      <top style="thin">
        <color rgb="FF0070C0"/>
      </top>
      <bottom/>
      <diagonal/>
    </border>
    <border>
      <left style="medium">
        <color rgb="FF0070C0"/>
      </left>
      <right style="thick">
        <color rgb="FF0070C0"/>
      </right>
      <top style="thin">
        <color rgb="FF0070C0"/>
      </top>
      <bottom style="thick">
        <color rgb="FF0070C0"/>
      </bottom>
      <diagonal/>
    </border>
    <border>
      <left style="thin">
        <color rgb="FF0070C0"/>
      </left>
      <right/>
      <top style="thin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n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thick">
        <color rgb="FF0070C0"/>
      </left>
      <right style="medium">
        <color rgb="FF0070C0"/>
      </right>
      <top style="thin">
        <color rgb="FF0070C0"/>
      </top>
      <bottom/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ck">
        <color rgb="FF0070C0"/>
      </bottom>
      <diagonal/>
    </border>
    <border>
      <left style="thin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/>
      <top style="medium">
        <color rgb="FF0070C0"/>
      </top>
      <bottom style="thin">
        <color rgb="FF0070C0"/>
      </bottom>
      <diagonal/>
    </border>
    <border>
      <left style="thick">
        <color rgb="FF0070C0"/>
      </left>
      <right/>
      <top style="thin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thick">
        <color rgb="FF0070C0"/>
      </bottom>
      <diagonal/>
    </border>
    <border>
      <left/>
      <right style="thin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ck">
        <color rgb="FF0070C0"/>
      </bottom>
      <diagonal/>
    </border>
    <border>
      <left style="thin">
        <color rgb="FF0070C0"/>
      </left>
      <right/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 style="thin">
        <color rgb="FF0070C0"/>
      </top>
      <bottom style="thick">
        <color rgb="FF0070C0"/>
      </bottom>
      <diagonal/>
    </border>
    <border>
      <left/>
      <right/>
      <top style="thin">
        <color rgb="FF0070C0"/>
      </top>
      <bottom style="thick">
        <color rgb="FF0070C0"/>
      </bottom>
      <diagonal/>
    </border>
    <border>
      <left/>
      <right style="thin">
        <color rgb="FF0070C0"/>
      </right>
      <top style="thin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/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ck">
        <color rgb="FF0070C0"/>
      </left>
      <right style="thick">
        <color rgb="FF0070C0"/>
      </right>
      <top style="medium">
        <color rgb="FF0070C0"/>
      </top>
      <bottom style="thin">
        <color rgb="FF0070C0"/>
      </bottom>
      <diagonal/>
    </border>
    <border>
      <left style="thick">
        <color rgb="FF0070C0"/>
      </left>
      <right style="thick">
        <color rgb="FF0070C0"/>
      </right>
      <top/>
      <bottom style="thin">
        <color rgb="FF0070C0"/>
      </bottom>
      <diagonal/>
    </border>
    <border>
      <left style="thick">
        <color rgb="FF0070C0"/>
      </left>
      <right style="thick">
        <color rgb="FF0070C0"/>
      </right>
      <top style="thin">
        <color rgb="FF0070C0"/>
      </top>
      <bottom/>
      <diagonal/>
    </border>
    <border>
      <left style="thick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ck">
        <color rgb="FF0070C0"/>
      </right>
      <top style="thin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/>
      <diagonal/>
    </border>
    <border>
      <left/>
      <right style="thick">
        <color rgb="FF0070C0"/>
      </right>
      <top style="medium">
        <color rgb="FF0070C0"/>
      </top>
      <bottom/>
      <diagonal/>
    </border>
    <border>
      <left/>
      <right style="thick">
        <color rgb="FF0070C0"/>
      </right>
      <top style="medium">
        <color rgb="FF0070C0"/>
      </top>
      <bottom style="thin">
        <color rgb="FF0070C0"/>
      </bottom>
      <diagonal/>
    </border>
    <border>
      <left style="thick">
        <color rgb="FF0070C0"/>
      </left>
      <right/>
      <top/>
      <bottom style="thin">
        <color rgb="FF0070C0"/>
      </bottom>
      <diagonal/>
    </border>
    <border>
      <left/>
      <right style="thick">
        <color rgb="FF0070C0"/>
      </right>
      <top/>
      <bottom style="thin">
        <color rgb="FF0070C0"/>
      </bottom>
      <diagonal/>
    </border>
    <border>
      <left style="thick">
        <color rgb="FF0070C0"/>
      </left>
      <right style="thick">
        <color rgb="FF0070C0"/>
      </right>
      <top style="thin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n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 style="thick">
        <color rgb="FF0070C0"/>
      </top>
      <bottom style="thin">
        <color rgb="FF0070C0"/>
      </bottom>
      <diagonal/>
    </border>
    <border>
      <left/>
      <right/>
      <top style="thick">
        <color rgb="FF0070C0"/>
      </top>
      <bottom style="thin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medium">
        <color rgb="FF0070C0"/>
      </top>
      <bottom/>
      <diagonal/>
    </border>
    <border>
      <left style="thick">
        <color rgb="FF0070C0"/>
      </left>
      <right style="thin">
        <color rgb="FF0070C0"/>
      </right>
      <top/>
      <bottom style="thick">
        <color rgb="FF0070C0"/>
      </bottom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 style="thin">
        <color rgb="FF0070C0"/>
      </left>
      <right style="thin">
        <color rgb="FF0070C0"/>
      </right>
      <top/>
      <bottom style="thick">
        <color rgb="FF0070C0"/>
      </bottom>
      <diagonal/>
    </border>
    <border>
      <left/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/>
      <right style="thin">
        <color rgb="FF0070C0"/>
      </right>
      <top/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/>
      <bottom style="thick">
        <color rgb="FF0070C0"/>
      </bottom>
      <diagonal/>
    </border>
    <border>
      <left style="thin">
        <color rgb="FF0070C0"/>
      </left>
      <right/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/>
      <top/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rgb="FF0070C0"/>
      </left>
      <right/>
      <top style="thick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 style="thick">
        <color rgb="FF0070C0"/>
      </left>
      <right style="medium">
        <color rgb="FF0070C0"/>
      </right>
      <top/>
      <bottom/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ck">
        <color rgb="FF0070C0"/>
      </left>
      <right/>
      <top style="thick">
        <color rgb="FF0070C0"/>
      </top>
      <bottom style="medium">
        <color rgb="FF0070C0"/>
      </bottom>
      <diagonal/>
    </border>
    <border>
      <left/>
      <right/>
      <top style="thick">
        <color rgb="FF0070C0"/>
      </top>
      <bottom style="medium">
        <color rgb="FF0070C0"/>
      </bottom>
      <diagonal/>
    </border>
    <border>
      <left/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thin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n">
        <color rgb="FF0070C0"/>
      </left>
      <right/>
      <top/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thick">
        <color rgb="FF0070C0"/>
      </left>
      <right style="thin">
        <color rgb="FF0070C0"/>
      </right>
      <top style="thick">
        <color rgb="FF0070C0"/>
      </top>
      <bottom style="thick">
        <color rgb="FF0070C0"/>
      </bottom>
      <diagonal/>
    </border>
    <border>
      <left style="thin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 style="thick">
        <color rgb="FF0070C0"/>
      </right>
      <top/>
      <bottom style="thick">
        <color rgb="FF0070C0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79" fontId="1" fillId="0" borderId="0" applyFont="0" applyFill="0" applyBorder="0" applyAlignment="0" applyProtection="0"/>
  </cellStyleXfs>
  <cellXfs count="1624">
    <xf numFmtId="0" fontId="0" fillId="0" borderId="0" xfId="0"/>
    <xf numFmtId="4" fontId="0" fillId="0" borderId="0" xfId="0" applyNumberFormat="1"/>
    <xf numFmtId="0" fontId="5" fillId="0" borderId="0" xfId="0" applyFont="1"/>
    <xf numFmtId="0" fontId="4" fillId="0" borderId="0" xfId="0" applyFont="1" applyFill="1" applyBorder="1"/>
    <xf numFmtId="0" fontId="5" fillId="0" borderId="0" xfId="0" applyFont="1" applyAlignment="1">
      <alignment vertical="center"/>
    </xf>
    <xf numFmtId="9" fontId="5" fillId="0" borderId="0" xfId="1" applyFont="1"/>
    <xf numFmtId="167" fontId="5" fillId="0" borderId="0" xfId="0" applyNumberFormat="1" applyFont="1"/>
    <xf numFmtId="167" fontId="5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left"/>
    </xf>
    <xf numFmtId="167" fontId="7" fillId="0" borderId="0" xfId="0" applyNumberFormat="1" applyFont="1" applyAlignment="1">
      <alignment horizontal="left"/>
    </xf>
    <xf numFmtId="164" fontId="0" fillId="0" borderId="0" xfId="3" applyFont="1"/>
    <xf numFmtId="169" fontId="5" fillId="0" borderId="0" xfId="3" applyNumberFormat="1" applyFont="1"/>
    <xf numFmtId="9" fontId="5" fillId="0" borderId="0" xfId="1" applyFont="1" applyAlignment="1">
      <alignment horizontal="center"/>
    </xf>
    <xf numFmtId="169" fontId="0" fillId="0" borderId="0" xfId="3" applyNumberFormat="1" applyFont="1"/>
    <xf numFmtId="9" fontId="0" fillId="0" borderId="0" xfId="1" applyFont="1"/>
    <xf numFmtId="0" fontId="5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168" fontId="6" fillId="0" borderId="0" xfId="0" applyNumberFormat="1" applyFont="1" applyFill="1" applyBorder="1" applyAlignment="1">
      <alignment vertical="center"/>
    </xf>
    <xf numFmtId="1" fontId="0" fillId="0" borderId="0" xfId="0" applyNumberFormat="1"/>
    <xf numFmtId="167" fontId="0" fillId="0" borderId="0" xfId="0" applyNumberFormat="1"/>
    <xf numFmtId="4" fontId="9" fillId="0" borderId="0" xfId="0" applyNumberFormat="1" applyFont="1"/>
    <xf numFmtId="168" fontId="0" fillId="0" borderId="0" xfId="0" applyNumberFormat="1"/>
    <xf numFmtId="164" fontId="5" fillId="0" borderId="0" xfId="3" applyFont="1" applyAlignment="1">
      <alignment horizontal="center"/>
    </xf>
    <xf numFmtId="0" fontId="0" fillId="0" borderId="0" xfId="0" applyBorder="1"/>
    <xf numFmtId="168" fontId="5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168" fontId="9" fillId="0" borderId="0" xfId="0" applyNumberFormat="1" applyFont="1" applyFill="1" applyBorder="1" applyAlignment="1">
      <alignment vertical="center"/>
    </xf>
    <xf numFmtId="0" fontId="2" fillId="0" borderId="0" xfId="0" applyFont="1"/>
    <xf numFmtId="0" fontId="0" fillId="0" borderId="0" xfId="0" applyNumberFormat="1"/>
    <xf numFmtId="10" fontId="0" fillId="0" borderId="0" xfId="1" applyNumberFormat="1" applyFont="1"/>
    <xf numFmtId="0" fontId="0" fillId="0" borderId="0" xfId="0" applyAlignment="1">
      <alignment horizontal="right"/>
    </xf>
    <xf numFmtId="168" fontId="11" fillId="0" borderId="0" xfId="0" applyNumberFormat="1" applyFont="1" applyFill="1" applyBorder="1"/>
    <xf numFmtId="0" fontId="0" fillId="0" borderId="0" xfId="0" applyFill="1"/>
    <xf numFmtId="0" fontId="2" fillId="0" borderId="0" xfId="0" applyFont="1" applyFill="1"/>
    <xf numFmtId="0" fontId="0" fillId="0" borderId="0" xfId="0" applyNumberFormat="1" applyFill="1"/>
    <xf numFmtId="9" fontId="0" fillId="0" borderId="0" xfId="0" applyNumberFormat="1"/>
    <xf numFmtId="175" fontId="0" fillId="0" borderId="0" xfId="0" applyNumberFormat="1"/>
    <xf numFmtId="0" fontId="20" fillId="0" borderId="0" xfId="0" applyFont="1"/>
    <xf numFmtId="169" fontId="0" fillId="0" borderId="0" xfId="0" applyNumberFormat="1"/>
    <xf numFmtId="0" fontId="14" fillId="0" borderId="0" xfId="0" applyFont="1" applyAlignment="1"/>
    <xf numFmtId="0" fontId="22" fillId="0" borderId="0" xfId="0" applyFont="1"/>
    <xf numFmtId="9" fontId="22" fillId="0" borderId="0" xfId="1" applyFont="1"/>
    <xf numFmtId="170" fontId="22" fillId="0" borderId="0" xfId="1" applyNumberFormat="1" applyFont="1"/>
    <xf numFmtId="0" fontId="22" fillId="0" borderId="0" xfId="0" applyFont="1" applyAlignment="1">
      <alignment horizontal="center"/>
    </xf>
    <xf numFmtId="178" fontId="0" fillId="0" borderId="0" xfId="0" applyNumberFormat="1"/>
    <xf numFmtId="0" fontId="0" fillId="0" borderId="0" xfId="0"/>
    <xf numFmtId="2" fontId="0" fillId="0" borderId="0" xfId="0" applyNumberFormat="1"/>
    <xf numFmtId="169" fontId="2" fillId="0" borderId="0" xfId="0" applyNumberFormat="1" applyFont="1"/>
    <xf numFmtId="2" fontId="2" fillId="0" borderId="0" xfId="0" applyNumberFormat="1" applyFont="1"/>
    <xf numFmtId="169" fontId="32" fillId="0" borderId="0" xfId="0" applyNumberFormat="1" applyFont="1" applyFill="1"/>
    <xf numFmtId="180" fontId="0" fillId="0" borderId="0" xfId="0" applyNumberForma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169" fontId="18" fillId="0" borderId="0" xfId="0" applyNumberFormat="1" applyFont="1"/>
    <xf numFmtId="164" fontId="18" fillId="0" borderId="0" xfId="3" applyFont="1"/>
    <xf numFmtId="9" fontId="18" fillId="0" borderId="0" xfId="1" applyFont="1"/>
    <xf numFmtId="9" fontId="18" fillId="0" borderId="0" xfId="1" applyFont="1" applyAlignment="1">
      <alignment horizontal="center"/>
    </xf>
    <xf numFmtId="0" fontId="11" fillId="0" borderId="0" xfId="0" applyFont="1" applyAlignment="1">
      <alignment vertical="center"/>
    </xf>
    <xf numFmtId="167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0" borderId="0" xfId="1" applyNumberFormat="1" applyFont="1" applyBorder="1" applyAlignment="1">
      <alignment horizontal="center"/>
    </xf>
    <xf numFmtId="167" fontId="5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right"/>
    </xf>
    <xf numFmtId="168" fontId="19" fillId="0" borderId="0" xfId="0" applyNumberFormat="1" applyFont="1" applyFill="1" applyBorder="1"/>
    <xf numFmtId="0" fontId="19" fillId="0" borderId="0" xfId="0" applyFont="1" applyBorder="1"/>
    <xf numFmtId="0" fontId="19" fillId="0" borderId="0" xfId="0" applyFont="1" applyFill="1" applyBorder="1" applyAlignment="1">
      <alignment horizontal="center"/>
    </xf>
    <xf numFmtId="0" fontId="19" fillId="0" borderId="0" xfId="0" applyFont="1" applyFill="1" applyBorder="1" applyAlignment="1"/>
    <xf numFmtId="169" fontId="19" fillId="0" borderId="0" xfId="0" applyNumberFormat="1" applyFont="1" applyFill="1" applyBorder="1" applyAlignment="1"/>
    <xf numFmtId="173" fontId="0" fillId="0" borderId="0" xfId="0" applyNumberFormat="1"/>
    <xf numFmtId="1" fontId="5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85" fontId="0" fillId="0" borderId="0" xfId="3" applyNumberFormat="1" applyFont="1"/>
    <xf numFmtId="175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168" fontId="0" fillId="0" borderId="0" xfId="0" applyNumberFormat="1" applyAlignment="1">
      <alignment vertical="center"/>
    </xf>
    <xf numFmtId="0" fontId="19" fillId="0" borderId="0" xfId="0" applyFont="1" applyAlignment="1">
      <alignment vertical="center"/>
    </xf>
    <xf numFmtId="169" fontId="19" fillId="0" borderId="0" xfId="0" applyNumberFormat="1" applyFont="1" applyAlignment="1">
      <alignment vertical="center"/>
    </xf>
    <xf numFmtId="169" fontId="0" fillId="0" borderId="0" xfId="0" applyNumberFormat="1" applyAlignment="1">
      <alignment vertical="center"/>
    </xf>
    <xf numFmtId="9" fontId="0" fillId="0" borderId="0" xfId="1" applyFont="1" applyAlignment="1">
      <alignment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8" fontId="0" fillId="0" borderId="0" xfId="0" applyNumberFormat="1" applyFill="1" applyBorder="1" applyAlignment="1">
      <alignment vertical="center"/>
    </xf>
    <xf numFmtId="0" fontId="42" fillId="0" borderId="0" xfId="0" applyFont="1" applyAlignment="1">
      <alignment vertical="center"/>
    </xf>
    <xf numFmtId="9" fontId="20" fillId="0" borderId="0" xfId="0" applyNumberFormat="1" applyFont="1"/>
    <xf numFmtId="10" fontId="0" fillId="0" borderId="0" xfId="0" applyNumberFormat="1"/>
    <xf numFmtId="0" fontId="0" fillId="0" borderId="0" xfId="0" applyAlignment="1">
      <alignment horizontal="right"/>
    </xf>
    <xf numFmtId="0" fontId="4" fillId="5" borderId="0" xfId="0" applyFont="1" applyFill="1" applyBorder="1"/>
    <xf numFmtId="0" fontId="13" fillId="0" borderId="0" xfId="0" applyFont="1" applyFill="1" applyBorder="1" applyAlignment="1">
      <alignment vertical="center" wrapText="1"/>
    </xf>
    <xf numFmtId="168" fontId="13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168" fontId="12" fillId="0" borderId="0" xfId="0" applyNumberFormat="1" applyFont="1" applyFill="1" applyBorder="1" applyAlignment="1">
      <alignment horizontal="right" vertical="center" wrapText="1"/>
    </xf>
    <xf numFmtId="3" fontId="11" fillId="0" borderId="0" xfId="0" applyNumberFormat="1" applyFont="1" applyFill="1" applyBorder="1" applyAlignment="1">
      <alignment horizontal="center" vertical="center"/>
    </xf>
    <xf numFmtId="168" fontId="11" fillId="0" borderId="0" xfId="0" applyNumberFormat="1" applyFont="1" applyFill="1" applyBorder="1" applyAlignment="1">
      <alignment vertical="center"/>
    </xf>
    <xf numFmtId="0" fontId="26" fillId="0" borderId="1" xfId="0" applyFont="1" applyFill="1" applyBorder="1" applyAlignment="1">
      <alignment horizontal="left" vertical="center"/>
    </xf>
    <xf numFmtId="0" fontId="26" fillId="0" borderId="4" xfId="0" applyFont="1" applyFill="1" applyBorder="1" applyAlignment="1">
      <alignment horizontal="left" vertical="center"/>
    </xf>
    <xf numFmtId="0" fontId="43" fillId="7" borderId="7" xfId="0" applyFont="1" applyFill="1" applyBorder="1" applyAlignment="1">
      <alignment horizontal="left" vertical="center" wrapText="1"/>
    </xf>
    <xf numFmtId="0" fontId="26" fillId="0" borderId="14" xfId="0" applyFont="1" applyFill="1" applyBorder="1" applyAlignment="1">
      <alignment horizontal="left" vertical="center"/>
    </xf>
    <xf numFmtId="0" fontId="43" fillId="7" borderId="11" xfId="0" applyFont="1" applyFill="1" applyBorder="1" applyAlignment="1">
      <alignment horizontal="left" vertical="center" wrapText="1"/>
    </xf>
    <xf numFmtId="0" fontId="26" fillId="2" borderId="11" xfId="0" applyFont="1" applyFill="1" applyBorder="1" applyAlignment="1">
      <alignment horizontal="left" vertical="center"/>
    </xf>
    <xf numFmtId="0" fontId="23" fillId="7" borderId="22" xfId="0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/>
    </xf>
    <xf numFmtId="0" fontId="23" fillId="7" borderId="12" xfId="0" applyFont="1" applyFill="1" applyBorder="1" applyAlignment="1">
      <alignment horizontal="center" vertical="center"/>
    </xf>
    <xf numFmtId="0" fontId="19" fillId="6" borderId="21" xfId="0" applyFont="1" applyFill="1" applyBorder="1" applyAlignment="1"/>
    <xf numFmtId="168" fontId="19" fillId="6" borderId="2" xfId="0" applyNumberFormat="1" applyFont="1" applyFill="1" applyBorder="1" applyAlignment="1"/>
    <xf numFmtId="0" fontId="18" fillId="0" borderId="21" xfId="0" applyFont="1" applyBorder="1" applyAlignment="1"/>
    <xf numFmtId="168" fontId="18" fillId="0" borderId="2" xfId="0" applyNumberFormat="1" applyFont="1" applyBorder="1" applyAlignment="1"/>
    <xf numFmtId="0" fontId="18" fillId="0" borderId="24" xfId="0" applyFont="1" applyBorder="1" applyAlignment="1"/>
    <xf numFmtId="168" fontId="18" fillId="0" borderId="15" xfId="0" applyNumberFormat="1" applyFont="1" applyBorder="1" applyAlignment="1"/>
    <xf numFmtId="9" fontId="19" fillId="6" borderId="20" xfId="1" applyFont="1" applyFill="1" applyBorder="1" applyAlignment="1"/>
    <xf numFmtId="9" fontId="18" fillId="0" borderId="20" xfId="1" applyFont="1" applyBorder="1" applyAlignment="1"/>
    <xf numFmtId="9" fontId="18" fillId="0" borderId="25" xfId="1" applyFont="1" applyBorder="1" applyAlignment="1"/>
    <xf numFmtId="0" fontId="23" fillId="7" borderId="31" xfId="0" applyFont="1" applyFill="1" applyBorder="1" applyAlignment="1">
      <alignment horizontal="center" vertical="center"/>
    </xf>
    <xf numFmtId="168" fontId="19" fillId="6" borderId="32" xfId="0" applyNumberFormat="1" applyFont="1" applyFill="1" applyBorder="1" applyAlignment="1"/>
    <xf numFmtId="168" fontId="18" fillId="0" borderId="32" xfId="0" applyNumberFormat="1" applyFont="1" applyBorder="1" applyAlignment="1"/>
    <xf numFmtId="168" fontId="18" fillId="0" borderId="33" xfId="0" applyNumberFormat="1" applyFont="1" applyBorder="1" applyAlignment="1"/>
    <xf numFmtId="0" fontId="23" fillId="7" borderId="13" xfId="0" applyFont="1" applyFill="1" applyBorder="1" applyAlignment="1">
      <alignment horizontal="center" vertical="center"/>
    </xf>
    <xf numFmtId="9" fontId="19" fillId="6" borderId="3" xfId="1" applyFont="1" applyFill="1" applyBorder="1" applyAlignment="1"/>
    <xf numFmtId="9" fontId="18" fillId="0" borderId="3" xfId="1" applyFont="1" applyBorder="1" applyAlignment="1"/>
    <xf numFmtId="9" fontId="18" fillId="0" borderId="16" xfId="1" applyFont="1" applyBorder="1" applyAlignment="1"/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center" vertical="center"/>
    </xf>
    <xf numFmtId="167" fontId="26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9" fontId="26" fillId="6" borderId="20" xfId="1" applyFont="1" applyFill="1" applyBorder="1" applyAlignment="1">
      <alignment horizontal="center" vertical="center"/>
    </xf>
    <xf numFmtId="9" fontId="46" fillId="0" borderId="20" xfId="1" applyFont="1" applyFill="1" applyBorder="1" applyAlignment="1">
      <alignment vertical="center"/>
    </xf>
    <xf numFmtId="9" fontId="26" fillId="6" borderId="25" xfId="1" applyFont="1" applyFill="1" applyBorder="1" applyAlignment="1">
      <alignment vertical="center"/>
    </xf>
    <xf numFmtId="0" fontId="26" fillId="6" borderId="41" xfId="0" applyFont="1" applyFill="1" applyBorder="1" applyAlignment="1">
      <alignment horizontal="center" vertical="center"/>
    </xf>
    <xf numFmtId="0" fontId="46" fillId="0" borderId="41" xfId="0" applyFont="1" applyFill="1" applyBorder="1" applyAlignment="1">
      <alignment horizontal="right" vertical="center"/>
    </xf>
    <xf numFmtId="0" fontId="26" fillId="6" borderId="42" xfId="0" applyFont="1" applyFill="1" applyBorder="1" applyAlignment="1">
      <alignment horizontal="right" vertical="center"/>
    </xf>
    <xf numFmtId="9" fontId="26" fillId="6" borderId="43" xfId="1" applyFont="1" applyFill="1" applyBorder="1" applyAlignment="1">
      <alignment horizontal="center" vertical="center"/>
    </xf>
    <xf numFmtId="9" fontId="46" fillId="0" borderId="43" xfId="1" applyFont="1" applyFill="1" applyBorder="1" applyAlignment="1">
      <alignment vertical="center"/>
    </xf>
    <xf numFmtId="9" fontId="26" fillId="6" borderId="44" xfId="1" applyFont="1" applyFill="1" applyBorder="1" applyAlignment="1">
      <alignment vertical="center"/>
    </xf>
    <xf numFmtId="0" fontId="26" fillId="6" borderId="32" xfId="0" applyFont="1" applyFill="1" applyBorder="1" applyAlignment="1">
      <alignment horizontal="center" vertical="center"/>
    </xf>
    <xf numFmtId="168" fontId="46" fillId="0" borderId="32" xfId="0" applyNumberFormat="1" applyFont="1" applyFill="1" applyBorder="1" applyAlignment="1">
      <alignment vertical="center"/>
    </xf>
    <xf numFmtId="168" fontId="26" fillId="6" borderId="33" xfId="0" applyNumberFormat="1" applyFont="1" applyFill="1" applyBorder="1" applyAlignment="1">
      <alignment vertical="center"/>
    </xf>
    <xf numFmtId="0" fontId="26" fillId="6" borderId="1" xfId="0" applyFont="1" applyFill="1" applyBorder="1" applyAlignment="1">
      <alignment horizontal="center" vertical="center"/>
    </xf>
    <xf numFmtId="9" fontId="26" fillId="6" borderId="3" xfId="1" applyFont="1" applyFill="1" applyBorder="1" applyAlignment="1">
      <alignment horizontal="center" vertical="center"/>
    </xf>
    <xf numFmtId="9" fontId="46" fillId="0" borderId="3" xfId="1" applyFont="1" applyFill="1" applyBorder="1" applyAlignment="1">
      <alignment vertical="center"/>
    </xf>
    <xf numFmtId="9" fontId="26" fillId="6" borderId="16" xfId="1" applyFont="1" applyFill="1" applyBorder="1" applyAlignment="1">
      <alignment vertical="center"/>
    </xf>
    <xf numFmtId="168" fontId="46" fillId="0" borderId="1" xfId="0" applyNumberFormat="1" applyFont="1" applyFill="1" applyBorder="1" applyAlignment="1">
      <alignment vertical="center"/>
    </xf>
    <xf numFmtId="168" fontId="26" fillId="6" borderId="14" xfId="0" applyNumberFormat="1" applyFont="1" applyFill="1" applyBorder="1" applyAlignment="1">
      <alignment vertical="center"/>
    </xf>
    <xf numFmtId="0" fontId="26" fillId="6" borderId="29" xfId="0" applyFont="1" applyFill="1" applyBorder="1" applyAlignment="1">
      <alignment horizontal="center" vertical="center"/>
    </xf>
    <xf numFmtId="9" fontId="46" fillId="0" borderId="29" xfId="1" applyFont="1" applyFill="1" applyBorder="1" applyAlignment="1">
      <alignment horizontal="center" vertical="center"/>
    </xf>
    <xf numFmtId="9" fontId="26" fillId="6" borderId="30" xfId="1" applyFont="1" applyFill="1" applyBorder="1" applyAlignment="1">
      <alignment horizontal="center" vertical="center"/>
    </xf>
    <xf numFmtId="168" fontId="0" fillId="0" borderId="0" xfId="0" applyNumberFormat="1" applyFill="1"/>
    <xf numFmtId="168" fontId="9" fillId="0" borderId="0" xfId="0" applyNumberFormat="1" applyFont="1" applyFill="1" applyBorder="1"/>
    <xf numFmtId="0" fontId="9" fillId="0" borderId="0" xfId="0" applyFont="1" applyFill="1" applyBorder="1" applyAlignment="1">
      <alignment horizontal="right"/>
    </xf>
    <xf numFmtId="9" fontId="9" fillId="0" borderId="0" xfId="1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/>
    </xf>
    <xf numFmtId="168" fontId="11" fillId="0" borderId="2" xfId="0" applyNumberFormat="1" applyFont="1" applyFill="1" applyBorder="1" applyAlignment="1">
      <alignment horizontal="right"/>
    </xf>
    <xf numFmtId="0" fontId="12" fillId="0" borderId="15" xfId="0" applyFont="1" applyFill="1" applyBorder="1" applyAlignment="1">
      <alignment horizontal="right"/>
    </xf>
    <xf numFmtId="0" fontId="47" fillId="6" borderId="20" xfId="0" applyFont="1" applyFill="1" applyBorder="1" applyAlignment="1">
      <alignment horizontal="center" vertical="center" wrapText="1"/>
    </xf>
    <xf numFmtId="0" fontId="12" fillId="6" borderId="53" xfId="0" applyFont="1" applyFill="1" applyBorder="1" applyAlignment="1">
      <alignment horizontal="center" vertical="center" wrapText="1"/>
    </xf>
    <xf numFmtId="0" fontId="47" fillId="6" borderId="5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left"/>
    </xf>
    <xf numFmtId="168" fontId="11" fillId="0" borderId="10" xfId="0" applyNumberFormat="1" applyFont="1" applyFill="1" applyBorder="1" applyAlignment="1">
      <alignment horizontal="right"/>
    </xf>
    <xf numFmtId="0" fontId="11" fillId="0" borderId="12" xfId="0" applyFont="1" applyFill="1" applyBorder="1" applyAlignment="1">
      <alignment horizontal="left"/>
    </xf>
    <xf numFmtId="168" fontId="11" fillId="0" borderId="12" xfId="0" applyNumberFormat="1" applyFont="1" applyFill="1" applyBorder="1" applyAlignment="1">
      <alignment horizontal="right"/>
    </xf>
    <xf numFmtId="168" fontId="12" fillId="0" borderId="15" xfId="0" applyNumberFormat="1" applyFont="1" applyFill="1" applyBorder="1"/>
    <xf numFmtId="168" fontId="12" fillId="0" borderId="15" xfId="0" applyNumberFormat="1" applyFont="1" applyFill="1" applyBorder="1" applyAlignment="1">
      <alignment horizontal="right"/>
    </xf>
    <xf numFmtId="0" fontId="12" fillId="0" borderId="15" xfId="0" applyFont="1" applyFill="1" applyBorder="1" applyAlignment="1">
      <alignment horizontal="center"/>
    </xf>
    <xf numFmtId="0" fontId="19" fillId="6" borderId="56" xfId="0" applyFont="1" applyFill="1" applyBorder="1" applyAlignment="1">
      <alignment horizontal="center"/>
    </xf>
    <xf numFmtId="0" fontId="19" fillId="6" borderId="58" xfId="0" applyFont="1" applyFill="1" applyBorder="1" applyAlignment="1">
      <alignment horizontal="right"/>
    </xf>
    <xf numFmtId="168" fontId="19" fillId="6" borderId="58" xfId="0" applyNumberFormat="1" applyFont="1" applyFill="1" applyBorder="1"/>
    <xf numFmtId="0" fontId="19" fillId="6" borderId="58" xfId="0" applyFont="1" applyFill="1" applyBorder="1" applyAlignment="1">
      <alignment horizontal="center"/>
    </xf>
    <xf numFmtId="168" fontId="19" fillId="6" borderId="5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/>
    </xf>
    <xf numFmtId="168" fontId="9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68" fontId="6" fillId="0" borderId="0" xfId="0" applyNumberFormat="1" applyFont="1" applyFill="1" applyBorder="1"/>
    <xf numFmtId="168" fontId="6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NumberFormat="1" applyFont="1" applyFill="1" applyBorder="1" applyAlignment="1">
      <alignment vertical="center"/>
    </xf>
    <xf numFmtId="0" fontId="18" fillId="0" borderId="0" xfId="0" applyFont="1" applyFill="1"/>
    <xf numFmtId="0" fontId="12" fillId="6" borderId="50" xfId="0" applyFont="1" applyFill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/>
    </xf>
    <xf numFmtId="0" fontId="19" fillId="6" borderId="60" xfId="0" applyFont="1" applyFill="1" applyBorder="1" applyAlignment="1">
      <alignment horizontal="center"/>
    </xf>
    <xf numFmtId="0" fontId="19" fillId="6" borderId="61" xfId="0" applyFont="1" applyFill="1" applyBorder="1" applyAlignment="1">
      <alignment horizontal="right"/>
    </xf>
    <xf numFmtId="168" fontId="19" fillId="6" borderId="61" xfId="0" applyNumberFormat="1" applyFont="1" applyFill="1" applyBorder="1"/>
    <xf numFmtId="0" fontId="19" fillId="6" borderId="61" xfId="0" applyFont="1" applyFill="1" applyBorder="1" applyAlignment="1">
      <alignment horizontal="center"/>
    </xf>
    <xf numFmtId="0" fontId="12" fillId="0" borderId="53" xfId="0" applyFont="1" applyFill="1" applyBorder="1" applyAlignment="1">
      <alignment horizontal="right"/>
    </xf>
    <xf numFmtId="168" fontId="12" fillId="0" borderId="53" xfId="0" applyNumberFormat="1" applyFont="1" applyFill="1" applyBorder="1"/>
    <xf numFmtId="168" fontId="12" fillId="0" borderId="53" xfId="0" applyNumberFormat="1" applyFont="1" applyFill="1" applyBorder="1" applyAlignment="1">
      <alignment horizontal="right"/>
    </xf>
    <xf numFmtId="0" fontId="12" fillId="0" borderId="53" xfId="0" applyFont="1" applyFill="1" applyBorder="1" applyAlignment="1">
      <alignment horizontal="center"/>
    </xf>
    <xf numFmtId="168" fontId="11" fillId="0" borderId="20" xfId="0" applyNumberFormat="1" applyFont="1" applyFill="1" applyBorder="1" applyAlignment="1">
      <alignment vertical="center"/>
    </xf>
    <xf numFmtId="9" fontId="12" fillId="6" borderId="24" xfId="1" applyFont="1" applyFill="1" applyBorder="1" applyAlignment="1">
      <alignment vertical="center"/>
    </xf>
    <xf numFmtId="0" fontId="12" fillId="6" borderId="15" xfId="0" applyFont="1" applyFill="1" applyBorder="1" applyAlignment="1">
      <alignment horizontal="right" vertical="center"/>
    </xf>
    <xf numFmtId="168" fontId="12" fillId="6" borderId="15" xfId="0" applyNumberFormat="1" applyFont="1" applyFill="1" applyBorder="1" applyAlignment="1">
      <alignment vertical="center"/>
    </xf>
    <xf numFmtId="0" fontId="12" fillId="6" borderId="25" xfId="0" applyFont="1" applyFill="1" applyBorder="1" applyAlignment="1">
      <alignment vertical="center"/>
    </xf>
    <xf numFmtId="0" fontId="12" fillId="6" borderId="53" xfId="0" applyFont="1" applyFill="1" applyBorder="1" applyAlignment="1">
      <alignment horizontal="center" vertical="center" wrapText="1"/>
    </xf>
    <xf numFmtId="168" fontId="11" fillId="0" borderId="10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horizontal="left" vertical="center"/>
    </xf>
    <xf numFmtId="168" fontId="11" fillId="0" borderId="12" xfId="0" applyNumberFormat="1" applyFont="1" applyFill="1" applyBorder="1" applyAlignment="1">
      <alignment vertical="center"/>
    </xf>
    <xf numFmtId="0" fontId="11" fillId="0" borderId="15" xfId="0" applyFont="1" applyFill="1" applyBorder="1" applyAlignment="1">
      <alignment horizontal="left" vertical="center"/>
    </xf>
    <xf numFmtId="168" fontId="11" fillId="0" borderId="15" xfId="0" applyNumberFormat="1" applyFont="1" applyFill="1" applyBorder="1" applyAlignment="1">
      <alignment vertical="center"/>
    </xf>
    <xf numFmtId="9" fontId="12" fillId="6" borderId="56" xfId="1" applyFont="1" applyFill="1" applyBorder="1" applyAlignment="1">
      <alignment vertical="center"/>
    </xf>
    <xf numFmtId="0" fontId="12" fillId="6" borderId="58" xfId="0" applyFont="1" applyFill="1" applyBorder="1" applyAlignment="1">
      <alignment horizontal="right" vertical="center"/>
    </xf>
    <xf numFmtId="168" fontId="12" fillId="6" borderId="58" xfId="0" applyNumberFormat="1" applyFont="1" applyFill="1" applyBorder="1" applyAlignment="1">
      <alignment vertical="center"/>
    </xf>
    <xf numFmtId="0" fontId="12" fillId="6" borderId="57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/>
    </xf>
    <xf numFmtId="0" fontId="12" fillId="6" borderId="21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right" vertical="center"/>
    </xf>
    <xf numFmtId="0" fontId="11" fillId="0" borderId="2" xfId="0" applyFont="1" applyFill="1" applyBorder="1" applyAlignment="1">
      <alignment horizontal="right" vertical="center"/>
    </xf>
    <xf numFmtId="168" fontId="11" fillId="0" borderId="2" xfId="0" applyNumberFormat="1" applyFont="1" applyFill="1" applyBorder="1" applyAlignment="1">
      <alignment horizontal="right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2" fillId="6" borderId="24" xfId="0" applyFont="1" applyFill="1" applyBorder="1" applyAlignment="1">
      <alignment horizontal="right" vertical="center"/>
    </xf>
    <xf numFmtId="168" fontId="12" fillId="6" borderId="25" xfId="0" applyNumberFormat="1" applyFont="1" applyFill="1" applyBorder="1" applyAlignment="1">
      <alignment vertical="center"/>
    </xf>
    <xf numFmtId="168" fontId="11" fillId="0" borderId="0" xfId="0" applyNumberFormat="1" applyFont="1" applyAlignment="1">
      <alignment vertical="center"/>
    </xf>
    <xf numFmtId="0" fontId="11" fillId="0" borderId="2" xfId="0" applyFont="1" applyBorder="1" applyAlignment="1">
      <alignment horizontal="right" vertical="center"/>
    </xf>
    <xf numFmtId="168" fontId="11" fillId="0" borderId="2" xfId="0" applyNumberFormat="1" applyFont="1" applyBorder="1" applyAlignment="1">
      <alignment horizontal="right" vertical="center"/>
    </xf>
    <xf numFmtId="0" fontId="11" fillId="0" borderId="2" xfId="0" applyNumberFormat="1" applyFont="1" applyBorder="1" applyAlignment="1">
      <alignment horizontal="center" vertical="center"/>
    </xf>
    <xf numFmtId="168" fontId="11" fillId="0" borderId="20" xfId="0" applyNumberFormat="1" applyFont="1" applyBorder="1" applyAlignment="1">
      <alignment vertical="center"/>
    </xf>
    <xf numFmtId="168" fontId="12" fillId="0" borderId="0" xfId="0" applyNumberFormat="1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168" fontId="11" fillId="0" borderId="15" xfId="0" applyNumberFormat="1" applyFont="1" applyBorder="1" applyAlignment="1">
      <alignment vertical="center"/>
    </xf>
    <xf numFmtId="168" fontId="12" fillId="3" borderId="15" xfId="0" applyNumberFormat="1" applyFont="1" applyFill="1" applyBorder="1" applyAlignment="1">
      <alignment vertical="center"/>
    </xf>
    <xf numFmtId="9" fontId="12" fillId="3" borderId="25" xfId="1" applyFont="1" applyFill="1" applyBorder="1" applyAlignment="1">
      <alignment horizontal="center" vertical="center"/>
    </xf>
    <xf numFmtId="9" fontId="11" fillId="0" borderId="0" xfId="1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9" fontId="11" fillId="0" borderId="44" xfId="1" applyFont="1" applyBorder="1" applyAlignment="1">
      <alignment horizontal="center" vertical="center"/>
    </xf>
    <xf numFmtId="168" fontId="12" fillId="3" borderId="33" xfId="0" applyNumberFormat="1" applyFont="1" applyFill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168" fontId="11" fillId="0" borderId="14" xfId="0" applyNumberFormat="1" applyFont="1" applyBorder="1" applyAlignment="1">
      <alignment vertical="center"/>
    </xf>
    <xf numFmtId="9" fontId="11" fillId="0" borderId="16" xfId="1" applyFont="1" applyBorder="1" applyAlignment="1">
      <alignment horizontal="center" vertical="center"/>
    </xf>
    <xf numFmtId="168" fontId="11" fillId="0" borderId="24" xfId="0" applyNumberFormat="1" applyFont="1" applyBorder="1" applyAlignment="1">
      <alignment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/>
    </xf>
    <xf numFmtId="0" fontId="12" fillId="13" borderId="21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 wrapText="1"/>
    </xf>
    <xf numFmtId="168" fontId="12" fillId="13" borderId="15" xfId="0" applyNumberFormat="1" applyFont="1" applyFill="1" applyBorder="1" applyAlignment="1">
      <alignment vertical="center"/>
    </xf>
    <xf numFmtId="168" fontId="12" fillId="13" borderId="25" xfId="0" applyNumberFormat="1" applyFont="1" applyFill="1" applyBorder="1" applyAlignment="1">
      <alignment vertical="center"/>
    </xf>
    <xf numFmtId="0" fontId="47" fillId="6" borderId="2" xfId="0" applyFont="1" applyFill="1" applyBorder="1" applyAlignment="1">
      <alignment horizontal="center" vertical="center" wrapText="1"/>
    </xf>
    <xf numFmtId="0" fontId="47" fillId="13" borderId="2" xfId="0" applyFont="1" applyFill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0" fontId="47" fillId="0" borderId="32" xfId="0" applyFont="1" applyBorder="1" applyAlignment="1">
      <alignment horizontal="center" vertical="center" wrapText="1"/>
    </xf>
    <xf numFmtId="0" fontId="47" fillId="13" borderId="20" xfId="0" applyFont="1" applyFill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9" fontId="11" fillId="0" borderId="44" xfId="1" applyNumberFormat="1" applyFont="1" applyBorder="1" applyAlignment="1">
      <alignment horizontal="center" vertical="center"/>
    </xf>
    <xf numFmtId="9" fontId="11" fillId="0" borderId="16" xfId="1" applyNumberFormat="1" applyFont="1" applyBorder="1" applyAlignment="1">
      <alignment horizontal="center" vertical="center"/>
    </xf>
    <xf numFmtId="168" fontId="12" fillId="8" borderId="33" xfId="0" applyNumberFormat="1" applyFont="1" applyFill="1" applyBorder="1" applyAlignment="1">
      <alignment vertical="center"/>
    </xf>
    <xf numFmtId="168" fontId="12" fillId="8" borderId="15" xfId="0" applyNumberFormat="1" applyFont="1" applyFill="1" applyBorder="1" applyAlignment="1">
      <alignment vertical="center"/>
    </xf>
    <xf numFmtId="9" fontId="12" fillId="8" borderId="25" xfId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right" vertical="center" wrapText="1"/>
    </xf>
    <xf numFmtId="168" fontId="18" fillId="0" borderId="0" xfId="0" applyNumberFormat="1" applyFont="1" applyFill="1" applyBorder="1" applyAlignment="1">
      <alignment vertical="center"/>
    </xf>
    <xf numFmtId="168" fontId="18" fillId="0" borderId="12" xfId="0" applyNumberFormat="1" applyFont="1" applyFill="1" applyBorder="1" applyAlignment="1">
      <alignment vertical="center"/>
    </xf>
    <xf numFmtId="168" fontId="18" fillId="0" borderId="15" xfId="0" applyNumberFormat="1" applyFont="1" applyFill="1" applyBorder="1" applyAlignment="1">
      <alignment vertical="center"/>
    </xf>
    <xf numFmtId="168" fontId="18" fillId="0" borderId="61" xfId="0" applyNumberFormat="1" applyFont="1" applyFill="1" applyBorder="1" applyAlignment="1">
      <alignment vertical="center"/>
    </xf>
    <xf numFmtId="9" fontId="12" fillId="0" borderId="22" xfId="1" applyFont="1" applyFill="1" applyBorder="1" applyAlignment="1">
      <alignment vertical="center"/>
    </xf>
    <xf numFmtId="9" fontId="12" fillId="0" borderId="24" xfId="1" applyFont="1" applyFill="1" applyBorder="1" applyAlignment="1">
      <alignment vertical="center"/>
    </xf>
    <xf numFmtId="9" fontId="12" fillId="0" borderId="49" xfId="1" applyFont="1" applyFill="1" applyBorder="1" applyAlignment="1">
      <alignment vertical="center"/>
    </xf>
    <xf numFmtId="175" fontId="11" fillId="0" borderId="23" xfId="0" applyNumberFormat="1" applyFont="1" applyFill="1" applyBorder="1" applyAlignment="1">
      <alignment horizontal="center" vertical="center"/>
    </xf>
    <xf numFmtId="175" fontId="11" fillId="0" borderId="25" xfId="0" applyNumberFormat="1" applyFont="1" applyFill="1" applyBorder="1" applyAlignment="1">
      <alignment horizontal="center" vertical="center"/>
    </xf>
    <xf numFmtId="175" fontId="11" fillId="0" borderId="52" xfId="0" applyNumberFormat="1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/>
    </xf>
    <xf numFmtId="181" fontId="11" fillId="0" borderId="2" xfId="3" applyNumberFormat="1" applyFont="1" applyFill="1" applyBorder="1" applyAlignment="1">
      <alignment horizontal="center" vertical="center"/>
    </xf>
    <xf numFmtId="181" fontId="11" fillId="0" borderId="20" xfId="3" applyNumberFormat="1" applyFont="1" applyFill="1" applyBorder="1" applyAlignment="1">
      <alignment horizontal="center" vertical="center"/>
    </xf>
    <xf numFmtId="3" fontId="11" fillId="6" borderId="2" xfId="0" applyNumberFormat="1" applyFont="1" applyFill="1" applyBorder="1" applyAlignment="1">
      <alignment horizontal="center" vertical="center"/>
    </xf>
    <xf numFmtId="181" fontId="11" fillId="6" borderId="2" xfId="3" applyNumberFormat="1" applyFont="1" applyFill="1" applyBorder="1" applyAlignment="1">
      <alignment horizontal="center" vertical="center"/>
    </xf>
    <xf numFmtId="181" fontId="11" fillId="6" borderId="20" xfId="3" applyNumberFormat="1" applyFont="1" applyFill="1" applyBorder="1" applyAlignment="1">
      <alignment horizontal="center" vertical="center"/>
    </xf>
    <xf numFmtId="3" fontId="11" fillId="0" borderId="53" xfId="0" applyNumberFormat="1" applyFont="1" applyBorder="1" applyAlignment="1">
      <alignment horizontal="center" vertical="center"/>
    </xf>
    <xf numFmtId="181" fontId="11" fillId="0" borderId="53" xfId="3" applyNumberFormat="1" applyFont="1" applyFill="1" applyBorder="1" applyAlignment="1">
      <alignment horizontal="center" vertical="center"/>
    </xf>
    <xf numFmtId="181" fontId="11" fillId="0" borderId="50" xfId="3" applyNumberFormat="1" applyFont="1" applyFill="1" applyBorder="1" applyAlignment="1">
      <alignment horizontal="center" vertical="center"/>
    </xf>
    <xf numFmtId="3" fontId="11" fillId="0" borderId="10" xfId="0" applyNumberFormat="1" applyFont="1" applyBorder="1" applyAlignment="1">
      <alignment horizontal="center" vertical="center"/>
    </xf>
    <xf numFmtId="181" fontId="11" fillId="0" borderId="10" xfId="3" applyNumberFormat="1" applyFont="1" applyFill="1" applyBorder="1" applyAlignment="1">
      <alignment horizontal="center" vertical="center"/>
    </xf>
    <xf numFmtId="181" fontId="11" fillId="0" borderId="52" xfId="3" applyNumberFormat="1" applyFont="1" applyFill="1" applyBorder="1" applyAlignment="1">
      <alignment horizontal="center" vertical="center"/>
    </xf>
    <xf numFmtId="181" fontId="12" fillId="3" borderId="61" xfId="3" applyNumberFormat="1" applyFont="1" applyFill="1" applyBorder="1" applyAlignment="1">
      <alignment horizontal="center" vertical="center"/>
    </xf>
    <xf numFmtId="181" fontId="12" fillId="3" borderId="62" xfId="3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68" fontId="11" fillId="0" borderId="2" xfId="0" applyNumberFormat="1" applyFont="1" applyFill="1" applyBorder="1" applyAlignment="1">
      <alignment vertical="center" wrapText="1"/>
    </xf>
    <xf numFmtId="9" fontId="11" fillId="0" borderId="2" xfId="1" applyNumberFormat="1" applyFont="1" applyFill="1" applyBorder="1" applyAlignment="1">
      <alignment horizontal="center" vertical="center"/>
    </xf>
    <xf numFmtId="171" fontId="11" fillId="0" borderId="2" xfId="0" applyNumberFormat="1" applyFont="1" applyFill="1" applyBorder="1" applyAlignment="1">
      <alignment vertical="center"/>
    </xf>
    <xf numFmtId="171" fontId="11" fillId="0" borderId="2" xfId="3" applyNumberFormat="1" applyFont="1" applyFill="1" applyBorder="1" applyAlignment="1">
      <alignment vertical="center"/>
    </xf>
    <xf numFmtId="9" fontId="11" fillId="0" borderId="20" xfId="1" applyNumberFormat="1" applyFont="1" applyFill="1" applyBorder="1" applyAlignment="1">
      <alignment horizontal="center" vertical="center"/>
    </xf>
    <xf numFmtId="168" fontId="12" fillId="6" borderId="53" xfId="0" applyNumberFormat="1" applyFont="1" applyFill="1" applyBorder="1" applyAlignment="1">
      <alignment vertical="center" wrapText="1"/>
    </xf>
    <xf numFmtId="9" fontId="12" fillId="7" borderId="53" xfId="1" applyNumberFormat="1" applyFont="1" applyFill="1" applyBorder="1" applyAlignment="1">
      <alignment horizontal="center" vertical="center"/>
    </xf>
    <xf numFmtId="171" fontId="12" fillId="6" borderId="53" xfId="0" applyNumberFormat="1" applyFont="1" applyFill="1" applyBorder="1" applyAlignment="1">
      <alignment vertical="center"/>
    </xf>
    <xf numFmtId="171" fontId="12" fillId="6" borderId="53" xfId="3" applyNumberFormat="1" applyFont="1" applyFill="1" applyBorder="1" applyAlignment="1">
      <alignment vertical="center"/>
    </xf>
    <xf numFmtId="9" fontId="12" fillId="6" borderId="50" xfId="1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168" fontId="11" fillId="0" borderId="10" xfId="0" applyNumberFormat="1" applyFont="1" applyFill="1" applyBorder="1" applyAlignment="1">
      <alignment vertical="center" wrapText="1"/>
    </xf>
    <xf numFmtId="9" fontId="11" fillId="0" borderId="10" xfId="1" applyNumberFormat="1" applyFont="1" applyFill="1" applyBorder="1" applyAlignment="1">
      <alignment horizontal="center" vertical="center"/>
    </xf>
    <xf numFmtId="171" fontId="11" fillId="0" borderId="10" xfId="0" applyNumberFormat="1" applyFont="1" applyFill="1" applyBorder="1" applyAlignment="1">
      <alignment vertical="center"/>
    </xf>
    <xf numFmtId="171" fontId="11" fillId="0" borderId="10" xfId="3" applyNumberFormat="1" applyFont="1" applyFill="1" applyBorder="1" applyAlignment="1">
      <alignment vertical="center"/>
    </xf>
    <xf numFmtId="9" fontId="11" fillId="0" borderId="52" xfId="1" applyNumberFormat="1" applyFont="1" applyFill="1" applyBorder="1" applyAlignment="1">
      <alignment horizontal="center" vertical="center"/>
    </xf>
    <xf numFmtId="0" fontId="12" fillId="6" borderId="61" xfId="0" applyFont="1" applyFill="1" applyBorder="1" applyAlignment="1">
      <alignment horizontal="center" vertical="center"/>
    </xf>
    <xf numFmtId="0" fontId="12" fillId="6" borderId="61" xfId="0" applyFont="1" applyFill="1" applyBorder="1" applyAlignment="1">
      <alignment horizontal="center" vertical="center" wrapText="1"/>
    </xf>
    <xf numFmtId="0" fontId="12" fillId="6" borderId="62" xfId="0" applyFont="1" applyFill="1" applyBorder="1" applyAlignment="1">
      <alignment horizontal="center" vertical="center" wrapText="1"/>
    </xf>
    <xf numFmtId="0" fontId="11" fillId="0" borderId="61" xfId="0" applyFont="1" applyFill="1" applyBorder="1" applyAlignment="1">
      <alignment horizontal="center" vertical="center"/>
    </xf>
    <xf numFmtId="168" fontId="12" fillId="6" borderId="61" xfId="0" applyNumberFormat="1" applyFont="1" applyFill="1" applyBorder="1" applyAlignment="1">
      <alignment vertical="center" wrapText="1"/>
    </xf>
    <xf numFmtId="9" fontId="12" fillId="7" borderId="61" xfId="1" applyNumberFormat="1" applyFont="1" applyFill="1" applyBorder="1" applyAlignment="1">
      <alignment horizontal="center" vertical="center"/>
    </xf>
    <xf numFmtId="171" fontId="12" fillId="6" borderId="61" xfId="0" applyNumberFormat="1" applyFont="1" applyFill="1" applyBorder="1" applyAlignment="1">
      <alignment vertical="center"/>
    </xf>
    <xf numFmtId="171" fontId="12" fillId="6" borderId="61" xfId="3" applyNumberFormat="1" applyFont="1" applyFill="1" applyBorder="1" applyAlignment="1">
      <alignment vertical="center"/>
    </xf>
    <xf numFmtId="9" fontId="12" fillId="6" borderId="62" xfId="1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168" fontId="11" fillId="0" borderId="12" xfId="0" applyNumberFormat="1" applyFont="1" applyFill="1" applyBorder="1" applyAlignment="1">
      <alignment vertical="center" wrapText="1"/>
    </xf>
    <xf numFmtId="9" fontId="11" fillId="0" borderId="12" xfId="1" applyNumberFormat="1" applyFont="1" applyFill="1" applyBorder="1" applyAlignment="1">
      <alignment horizontal="center" vertical="center"/>
    </xf>
    <xf numFmtId="171" fontId="11" fillId="0" borderId="12" xfId="0" applyNumberFormat="1" applyFont="1" applyFill="1" applyBorder="1" applyAlignment="1">
      <alignment vertical="center"/>
    </xf>
    <xf numFmtId="171" fontId="11" fillId="0" borderId="12" xfId="3" applyNumberFormat="1" applyFont="1" applyFill="1" applyBorder="1" applyAlignment="1">
      <alignment vertical="center"/>
    </xf>
    <xf numFmtId="9" fontId="11" fillId="0" borderId="23" xfId="1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168" fontId="11" fillId="0" borderId="15" xfId="0" applyNumberFormat="1" applyFont="1" applyFill="1" applyBorder="1" applyAlignment="1">
      <alignment vertical="center" wrapText="1"/>
    </xf>
    <xf numFmtId="9" fontId="11" fillId="0" borderId="15" xfId="1" applyNumberFormat="1" applyFont="1" applyFill="1" applyBorder="1" applyAlignment="1">
      <alignment horizontal="center" vertical="center"/>
    </xf>
    <xf numFmtId="171" fontId="11" fillId="0" borderId="15" xfId="0" applyNumberFormat="1" applyFont="1" applyFill="1" applyBorder="1" applyAlignment="1">
      <alignment vertical="center"/>
    </xf>
    <xf numFmtId="171" fontId="11" fillId="0" borderId="15" xfId="3" applyNumberFormat="1" applyFont="1" applyFill="1" applyBorder="1" applyAlignment="1">
      <alignment vertical="center"/>
    </xf>
    <xf numFmtId="9" fontId="11" fillId="0" borderId="25" xfId="1" applyNumberFormat="1" applyFont="1" applyFill="1" applyBorder="1" applyAlignment="1">
      <alignment horizontal="center" vertical="center"/>
    </xf>
    <xf numFmtId="0" fontId="34" fillId="7" borderId="24" xfId="0" applyFont="1" applyFill="1" applyBorder="1" applyAlignment="1">
      <alignment horizontal="center" vertical="center"/>
    </xf>
    <xf numFmtId="0" fontId="34" fillId="6" borderId="60" xfId="0" applyFont="1" applyFill="1" applyBorder="1" applyAlignment="1">
      <alignment horizontal="center" vertical="center"/>
    </xf>
    <xf numFmtId="168" fontId="19" fillId="7" borderId="15" xfId="0" applyNumberFormat="1" applyFont="1" applyFill="1" applyBorder="1" applyAlignment="1">
      <alignment vertical="center" wrapText="1"/>
    </xf>
    <xf numFmtId="10" fontId="19" fillId="7" borderId="15" xfId="0" applyNumberFormat="1" applyFont="1" applyFill="1" applyBorder="1" applyAlignment="1">
      <alignment horizontal="center" vertical="center"/>
    </xf>
    <xf numFmtId="171" fontId="23" fillId="11" borderId="15" xfId="0" applyNumberFormat="1" applyFont="1" applyFill="1" applyBorder="1" applyAlignment="1">
      <alignment vertical="center"/>
    </xf>
    <xf numFmtId="172" fontId="48" fillId="7" borderId="15" xfId="0" applyNumberFormat="1" applyFont="1" applyFill="1" applyBorder="1" applyAlignment="1">
      <alignment vertical="center"/>
    </xf>
    <xf numFmtId="9" fontId="19" fillId="7" borderId="25" xfId="0" applyNumberFormat="1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vertical="center" wrapText="1"/>
    </xf>
    <xf numFmtId="168" fontId="13" fillId="7" borderId="23" xfId="0" applyNumberFormat="1" applyFont="1" applyFill="1" applyBorder="1" applyAlignment="1">
      <alignment horizontal="right" vertical="center"/>
    </xf>
    <xf numFmtId="168" fontId="26" fillId="0" borderId="25" xfId="0" applyNumberFormat="1" applyFont="1" applyFill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/>
    </xf>
    <xf numFmtId="0" fontId="12" fillId="6" borderId="21" xfId="0" applyFont="1" applyFill="1" applyBorder="1" applyAlignment="1">
      <alignment horizontal="right" vertical="center"/>
    </xf>
    <xf numFmtId="168" fontId="12" fillId="6" borderId="20" xfId="0" applyNumberFormat="1" applyFont="1" applyFill="1" applyBorder="1" applyAlignment="1">
      <alignment horizontal="right" vertical="center" wrapText="1"/>
    </xf>
    <xf numFmtId="3" fontId="11" fillId="0" borderId="2" xfId="0" applyNumberFormat="1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vertical="center"/>
    </xf>
    <xf numFmtId="168" fontId="11" fillId="5" borderId="20" xfId="0" applyNumberFormat="1" applyFont="1" applyFill="1" applyBorder="1" applyAlignment="1">
      <alignment horizontal="right" vertical="center"/>
    </xf>
    <xf numFmtId="168" fontId="11" fillId="0" borderId="20" xfId="0" applyNumberFormat="1" applyFont="1" applyFill="1" applyBorder="1" applyAlignment="1">
      <alignment horizontal="right" vertical="center" wrapText="1"/>
    </xf>
    <xf numFmtId="168" fontId="11" fillId="0" borderId="20" xfId="0" applyNumberFormat="1" applyFont="1" applyFill="1" applyBorder="1" applyAlignment="1">
      <alignment horizontal="right" vertical="center"/>
    </xf>
    <xf numFmtId="168" fontId="11" fillId="0" borderId="25" xfId="0" applyNumberFormat="1" applyFont="1" applyFill="1" applyBorder="1" applyAlignment="1">
      <alignment horizontal="right" vertical="center"/>
    </xf>
    <xf numFmtId="0" fontId="12" fillId="4" borderId="24" xfId="0" applyFont="1" applyFill="1" applyBorder="1" applyAlignment="1">
      <alignment vertical="center"/>
    </xf>
    <xf numFmtId="0" fontId="24" fillId="4" borderId="15" xfId="0" applyFont="1" applyFill="1" applyBorder="1" applyAlignment="1">
      <alignment vertical="center" shrinkToFit="1"/>
    </xf>
    <xf numFmtId="3" fontId="12" fillId="4" borderId="15" xfId="0" applyNumberFormat="1" applyFont="1" applyFill="1" applyBorder="1" applyAlignment="1">
      <alignment horizontal="center" vertical="center"/>
    </xf>
    <xf numFmtId="168" fontId="12" fillId="4" borderId="25" xfId="0" applyNumberFormat="1" applyFont="1" applyFill="1" applyBorder="1" applyAlignment="1">
      <alignment vertical="center"/>
    </xf>
    <xf numFmtId="0" fontId="26" fillId="0" borderId="21" xfId="0" applyFont="1" applyFill="1" applyBorder="1" applyAlignment="1">
      <alignment vertical="center"/>
    </xf>
    <xf numFmtId="0" fontId="26" fillId="0" borderId="24" xfId="0" applyFont="1" applyFill="1" applyBorder="1" applyAlignment="1">
      <alignment horizontal="right" vertical="center"/>
    </xf>
    <xf numFmtId="168" fontId="46" fillId="0" borderId="3" xfId="0" applyNumberFormat="1" applyFont="1" applyFill="1" applyBorder="1" applyAlignment="1">
      <alignment horizontal="right" vertical="center"/>
    </xf>
    <xf numFmtId="168" fontId="46" fillId="0" borderId="6" xfId="0" applyNumberFormat="1" applyFont="1" applyFill="1" applyBorder="1" applyAlignment="1">
      <alignment horizontal="right" vertical="center" wrapText="1"/>
    </xf>
    <xf numFmtId="168" fontId="26" fillId="2" borderId="13" xfId="0" applyNumberFormat="1" applyFont="1" applyFill="1" applyBorder="1" applyAlignment="1">
      <alignment horizontal="right" vertical="center"/>
    </xf>
    <xf numFmtId="168" fontId="46" fillId="0" borderId="3" xfId="0" applyNumberFormat="1" applyFont="1" applyFill="1" applyBorder="1" applyAlignment="1">
      <alignment horizontal="right" vertical="center" wrapText="1"/>
    </xf>
    <xf numFmtId="168" fontId="46" fillId="0" borderId="16" xfId="0" applyNumberFormat="1" applyFont="1" applyFill="1" applyBorder="1" applyAlignment="1">
      <alignment horizontal="right" vertical="center" wrapText="1"/>
    </xf>
    <xf numFmtId="168" fontId="46" fillId="0" borderId="16" xfId="0" applyNumberFormat="1" applyFont="1" applyFill="1" applyBorder="1" applyAlignment="1">
      <alignment horizontal="right" vertical="center"/>
    </xf>
    <xf numFmtId="168" fontId="10" fillId="7" borderId="13" xfId="0" applyNumberFormat="1" applyFont="1" applyFill="1" applyBorder="1" applyAlignment="1">
      <alignment vertical="center"/>
    </xf>
    <xf numFmtId="168" fontId="10" fillId="7" borderId="9" xfId="0" applyNumberFormat="1" applyFont="1" applyFill="1" applyBorder="1" applyAlignment="1">
      <alignment horizontal="right" vertical="center" wrapText="1"/>
    </xf>
    <xf numFmtId="173" fontId="0" fillId="0" borderId="0" xfId="0" applyNumberFormat="1" applyBorder="1" applyAlignment="1">
      <alignment horizontal="center"/>
    </xf>
    <xf numFmtId="0" fontId="12" fillId="6" borderId="2" xfId="0" applyFont="1" applyFill="1" applyBorder="1"/>
    <xf numFmtId="168" fontId="12" fillId="6" borderId="20" xfId="0" applyNumberFormat="1" applyFont="1" applyFill="1" applyBorder="1"/>
    <xf numFmtId="168" fontId="11" fillId="0" borderId="2" xfId="0" applyNumberFormat="1" applyFont="1" applyBorder="1"/>
    <xf numFmtId="168" fontId="11" fillId="0" borderId="2" xfId="0" applyNumberFormat="1" applyFont="1" applyFill="1" applyBorder="1"/>
    <xf numFmtId="0" fontId="0" fillId="0" borderId="21" xfId="0" applyBorder="1" applyAlignment="1">
      <alignment horizontal="right"/>
    </xf>
    <xf numFmtId="0" fontId="0" fillId="0" borderId="21" xfId="0" applyBorder="1" applyAlignment="1">
      <alignment horizontal="right" vertical="center" wrapText="1"/>
    </xf>
    <xf numFmtId="0" fontId="14" fillId="6" borderId="2" xfId="0" applyFont="1" applyFill="1" applyBorder="1" applyAlignment="1"/>
    <xf numFmtId="0" fontId="14" fillId="6" borderId="2" xfId="0" applyFont="1" applyFill="1" applyBorder="1"/>
    <xf numFmtId="0" fontId="0" fillId="0" borderId="47" xfId="0" applyBorder="1" applyAlignment="1">
      <alignment horizontal="right"/>
    </xf>
    <xf numFmtId="0" fontId="0" fillId="0" borderId="22" xfId="0" applyFill="1" applyBorder="1" applyAlignment="1">
      <alignment horizontal="right"/>
    </xf>
    <xf numFmtId="0" fontId="0" fillId="0" borderId="24" xfId="0" applyFill="1" applyBorder="1" applyAlignment="1">
      <alignment horizontal="right"/>
    </xf>
    <xf numFmtId="0" fontId="0" fillId="0" borderId="49" xfId="0" applyBorder="1"/>
    <xf numFmtId="0" fontId="0" fillId="0" borderId="10" xfId="0" applyBorder="1"/>
    <xf numFmtId="0" fontId="0" fillId="0" borderId="52" xfId="0" applyBorder="1"/>
    <xf numFmtId="0" fontId="12" fillId="0" borderId="2" xfId="0" applyFont="1" applyBorder="1" applyAlignment="1">
      <alignment horizontal="center"/>
    </xf>
    <xf numFmtId="0" fontId="11" fillId="0" borderId="21" xfId="0" applyFont="1" applyBorder="1"/>
    <xf numFmtId="169" fontId="12" fillId="0" borderId="2" xfId="3" applyNumberFormat="1" applyFont="1" applyBorder="1"/>
    <xf numFmtId="168" fontId="11" fillId="0" borderId="2" xfId="3" applyNumberFormat="1" applyFont="1" applyBorder="1"/>
    <xf numFmtId="169" fontId="11" fillId="0" borderId="2" xfId="3" applyNumberFormat="1" applyFont="1" applyBorder="1"/>
    <xf numFmtId="169" fontId="11" fillId="0" borderId="20" xfId="3" applyNumberFormat="1" applyFont="1" applyBorder="1"/>
    <xf numFmtId="0" fontId="11" fillId="0" borderId="2" xfId="0" applyFont="1" applyBorder="1"/>
    <xf numFmtId="0" fontId="10" fillId="7" borderId="2" xfId="0" applyFont="1" applyFill="1" applyBorder="1" applyAlignment="1">
      <alignment horizontal="center"/>
    </xf>
    <xf numFmtId="169" fontId="23" fillId="7" borderId="2" xfId="3" applyNumberFormat="1" applyFont="1" applyFill="1" applyBorder="1"/>
    <xf numFmtId="0" fontId="11" fillId="0" borderId="2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169" fontId="12" fillId="6" borderId="2" xfId="0" applyNumberFormat="1" applyFont="1" applyFill="1" applyBorder="1"/>
    <xf numFmtId="169" fontId="12" fillId="6" borderId="2" xfId="0" applyNumberFormat="1" applyFont="1" applyFill="1" applyBorder="1" applyAlignment="1">
      <alignment vertical="center"/>
    </xf>
    <xf numFmtId="169" fontId="12" fillId="6" borderId="2" xfId="3" applyNumberFormat="1" applyFont="1" applyFill="1" applyBorder="1"/>
    <xf numFmtId="0" fontId="11" fillId="0" borderId="1" xfId="0" applyFont="1" applyBorder="1"/>
    <xf numFmtId="0" fontId="10" fillId="7" borderId="3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right"/>
    </xf>
    <xf numFmtId="169" fontId="12" fillId="6" borderId="3" xfId="0" applyNumberFormat="1" applyFont="1" applyFill="1" applyBorder="1"/>
    <xf numFmtId="169" fontId="12" fillId="0" borderId="3" xfId="3" applyNumberFormat="1" applyFont="1" applyBorder="1"/>
    <xf numFmtId="168" fontId="11" fillId="0" borderId="3" xfId="0" applyNumberFormat="1" applyFont="1" applyBorder="1"/>
    <xf numFmtId="169" fontId="12" fillId="6" borderId="3" xfId="3" applyNumberFormat="1" applyFont="1" applyFill="1" applyBorder="1"/>
    <xf numFmtId="0" fontId="12" fillId="6" borderId="1" xfId="0" applyFont="1" applyFill="1" applyBorder="1" applyAlignment="1">
      <alignment horizontal="right" wrapText="1"/>
    </xf>
    <xf numFmtId="169" fontId="12" fillId="6" borderId="3" xfId="0" applyNumberFormat="1" applyFont="1" applyFill="1" applyBorder="1" applyAlignment="1">
      <alignment vertical="center"/>
    </xf>
    <xf numFmtId="0" fontId="11" fillId="0" borderId="1" xfId="0" applyNumberFormat="1" applyFont="1" applyBorder="1" applyAlignment="1">
      <alignment wrapText="1"/>
    </xf>
    <xf numFmtId="169" fontId="11" fillId="0" borderId="3" xfId="3" applyNumberFormat="1" applyFont="1" applyBorder="1"/>
    <xf numFmtId="0" fontId="11" fillId="0" borderId="3" xfId="0" applyFont="1" applyBorder="1"/>
    <xf numFmtId="169" fontId="23" fillId="7" borderId="3" xfId="3" applyNumberFormat="1" applyFont="1" applyFill="1" applyBorder="1"/>
    <xf numFmtId="9" fontId="23" fillId="7" borderId="5" xfId="1" applyFont="1" applyFill="1" applyBorder="1" applyAlignment="1">
      <alignment horizontal="center"/>
    </xf>
    <xf numFmtId="9" fontId="23" fillId="7" borderId="6" xfId="1" applyFont="1" applyFill="1" applyBorder="1" applyAlignment="1">
      <alignment horizontal="center"/>
    </xf>
    <xf numFmtId="169" fontId="19" fillId="3" borderId="2" xfId="0" applyNumberFormat="1" applyFont="1" applyFill="1" applyBorder="1"/>
    <xf numFmtId="169" fontId="19" fillId="3" borderId="3" xfId="0" applyNumberFormat="1" applyFont="1" applyFill="1" applyBorder="1"/>
    <xf numFmtId="169" fontId="11" fillId="0" borderId="20" xfId="3" applyNumberFormat="1" applyFont="1" applyFill="1" applyBorder="1" applyAlignment="1">
      <alignment vertical="center"/>
    </xf>
    <xf numFmtId="169" fontId="11" fillId="0" borderId="25" xfId="3" applyNumberFormat="1" applyFont="1" applyFill="1" applyBorder="1" applyAlignment="1">
      <alignment vertical="center"/>
    </xf>
    <xf numFmtId="0" fontId="11" fillId="0" borderId="24" xfId="0" applyFont="1" applyFill="1" applyBorder="1" applyAlignment="1">
      <alignment vertical="center"/>
    </xf>
    <xf numFmtId="169" fontId="11" fillId="0" borderId="52" xfId="3" applyNumberFormat="1" applyFont="1" applyFill="1" applyBorder="1" applyAlignment="1">
      <alignment vertical="center"/>
    </xf>
    <xf numFmtId="0" fontId="11" fillId="0" borderId="58" xfId="0" applyFont="1" applyFill="1" applyBorder="1" applyAlignment="1">
      <alignment horizontal="center" vertical="center"/>
    </xf>
    <xf numFmtId="169" fontId="11" fillId="0" borderId="57" xfId="3" applyNumberFormat="1" applyFont="1" applyFill="1" applyBorder="1" applyAlignment="1">
      <alignment vertical="center"/>
    </xf>
    <xf numFmtId="169" fontId="11" fillId="0" borderId="23" xfId="3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2" fillId="6" borderId="77" xfId="0" applyFont="1" applyFill="1" applyBorder="1" applyAlignment="1">
      <alignment horizontal="center" vertical="center"/>
    </xf>
    <xf numFmtId="0" fontId="12" fillId="6" borderId="78" xfId="0" applyFont="1" applyFill="1" applyBorder="1" applyAlignment="1">
      <alignment horizontal="center" vertical="center"/>
    </xf>
    <xf numFmtId="169" fontId="11" fillId="0" borderId="12" xfId="3" applyNumberFormat="1" applyFont="1" applyFill="1" applyBorder="1" applyAlignment="1">
      <alignment vertical="center"/>
    </xf>
    <xf numFmtId="169" fontId="11" fillId="0" borderId="2" xfId="3" applyNumberFormat="1" applyFont="1" applyFill="1" applyBorder="1" applyAlignment="1">
      <alignment vertical="center"/>
    </xf>
    <xf numFmtId="169" fontId="11" fillId="0" borderId="3" xfId="3" applyNumberFormat="1" applyFont="1" applyFill="1" applyBorder="1" applyAlignment="1">
      <alignment vertical="center"/>
    </xf>
    <xf numFmtId="169" fontId="11" fillId="0" borderId="10" xfId="3" applyNumberFormat="1" applyFont="1" applyFill="1" applyBorder="1" applyAlignment="1">
      <alignment vertical="center"/>
    </xf>
    <xf numFmtId="0" fontId="12" fillId="6" borderId="4" xfId="0" applyFont="1" applyFill="1" applyBorder="1" applyAlignment="1">
      <alignment horizontal="right" vertical="center"/>
    </xf>
    <xf numFmtId="169" fontId="12" fillId="6" borderId="5" xfId="3" applyNumberFormat="1" applyFont="1" applyFill="1" applyBorder="1" applyAlignment="1">
      <alignment vertical="center"/>
    </xf>
    <xf numFmtId="169" fontId="12" fillId="6" borderId="6" xfId="3" applyNumberFormat="1" applyFont="1" applyFill="1" applyBorder="1" applyAlignment="1">
      <alignment vertical="center"/>
    </xf>
    <xf numFmtId="0" fontId="11" fillId="0" borderId="77" xfId="0" applyFont="1" applyFill="1" applyBorder="1" applyAlignment="1">
      <alignment vertical="center" wrapText="1"/>
    </xf>
    <xf numFmtId="169" fontId="11" fillId="0" borderId="53" xfId="3" applyNumberFormat="1" applyFont="1" applyFill="1" applyBorder="1" applyAlignment="1">
      <alignment vertical="center"/>
    </xf>
    <xf numFmtId="169" fontId="11" fillId="0" borderId="78" xfId="3" applyNumberFormat="1" applyFont="1" applyFill="1" applyBorder="1" applyAlignment="1">
      <alignment vertical="center"/>
    </xf>
    <xf numFmtId="0" fontId="11" fillId="0" borderId="21" xfId="0" applyFont="1" applyFill="1" applyBorder="1" applyAlignment="1">
      <alignment vertical="center" wrapText="1"/>
    </xf>
    <xf numFmtId="169" fontId="12" fillId="6" borderId="15" xfId="3" applyNumberFormat="1" applyFont="1" applyFill="1" applyBorder="1" applyAlignment="1">
      <alignment vertical="center"/>
    </xf>
    <xf numFmtId="169" fontId="12" fillId="6" borderId="25" xfId="3" applyNumberFormat="1" applyFont="1" applyFill="1" applyBorder="1" applyAlignment="1">
      <alignment vertical="center"/>
    </xf>
    <xf numFmtId="0" fontId="12" fillId="6" borderId="24" xfId="0" applyFont="1" applyFill="1" applyBorder="1" applyAlignment="1">
      <alignment horizontal="center" vertical="center"/>
    </xf>
    <xf numFmtId="0" fontId="12" fillId="6" borderId="47" xfId="0" applyFont="1" applyFill="1" applyBorder="1" applyAlignment="1">
      <alignment horizontal="center" vertical="center"/>
    </xf>
    <xf numFmtId="0" fontId="12" fillId="6" borderId="50" xfId="0" applyFont="1" applyFill="1" applyBorder="1" applyAlignment="1">
      <alignment horizontal="center" vertical="center"/>
    </xf>
    <xf numFmtId="0" fontId="11" fillId="0" borderId="49" xfId="0" applyFont="1" applyFill="1" applyBorder="1" applyAlignment="1">
      <alignment vertical="center" wrapText="1"/>
    </xf>
    <xf numFmtId="0" fontId="12" fillId="2" borderId="22" xfId="0" applyFont="1" applyFill="1" applyBorder="1" applyAlignment="1">
      <alignment horizontal="right" vertical="center"/>
    </xf>
    <xf numFmtId="169" fontId="12" fillId="2" borderId="12" xfId="0" applyNumberFormat="1" applyFont="1" applyFill="1" applyBorder="1" applyAlignment="1">
      <alignment vertical="center"/>
    </xf>
    <xf numFmtId="169" fontId="12" fillId="2" borderId="23" xfId="3" applyNumberFormat="1" applyFont="1" applyFill="1" applyBorder="1" applyAlignment="1">
      <alignment vertical="center"/>
    </xf>
    <xf numFmtId="0" fontId="11" fillId="0" borderId="24" xfId="0" applyFont="1" applyFill="1" applyBorder="1" applyAlignment="1">
      <alignment vertical="center" wrapText="1"/>
    </xf>
    <xf numFmtId="169" fontId="11" fillId="0" borderId="15" xfId="0" applyNumberFormat="1" applyFont="1" applyFill="1" applyBorder="1" applyAlignment="1">
      <alignment vertical="center"/>
    </xf>
    <xf numFmtId="169" fontId="11" fillId="0" borderId="15" xfId="3" applyNumberFormat="1" applyFont="1" applyFill="1" applyBorder="1" applyAlignment="1">
      <alignment vertical="center"/>
    </xf>
    <xf numFmtId="0" fontId="12" fillId="2" borderId="22" xfId="0" applyFont="1" applyFill="1" applyBorder="1" applyAlignment="1">
      <alignment horizontal="right" vertical="center" wrapText="1"/>
    </xf>
    <xf numFmtId="0" fontId="11" fillId="0" borderId="56" xfId="0" applyFont="1" applyFill="1" applyBorder="1" applyAlignment="1">
      <alignment vertical="center" wrapText="1"/>
    </xf>
    <xf numFmtId="169" fontId="11" fillId="0" borderId="58" xfId="3" applyNumberFormat="1" applyFont="1" applyFill="1" applyBorder="1" applyAlignment="1">
      <alignment vertical="center"/>
    </xf>
    <xf numFmtId="0" fontId="12" fillId="2" borderId="11" xfId="0" applyFont="1" applyFill="1" applyBorder="1" applyAlignment="1">
      <alignment horizontal="right" vertical="center"/>
    </xf>
    <xf numFmtId="169" fontId="12" fillId="2" borderId="23" xfId="0" applyNumberFormat="1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169" fontId="11" fillId="0" borderId="25" xfId="0" applyNumberFormat="1" applyFont="1" applyFill="1" applyBorder="1" applyAlignment="1">
      <alignment vertical="center"/>
    </xf>
    <xf numFmtId="169" fontId="12" fillId="2" borderId="13" xfId="3" applyNumberFormat="1" applyFont="1" applyFill="1" applyBorder="1" applyAlignment="1">
      <alignment vertical="center"/>
    </xf>
    <xf numFmtId="169" fontId="11" fillId="0" borderId="16" xfId="0" applyNumberFormat="1" applyFont="1" applyFill="1" applyBorder="1" applyAlignment="1">
      <alignment vertical="center"/>
    </xf>
    <xf numFmtId="169" fontId="11" fillId="0" borderId="53" xfId="0" applyNumberFormat="1" applyFont="1" applyFill="1" applyBorder="1" applyAlignment="1">
      <alignment vertical="center"/>
    </xf>
    <xf numFmtId="0" fontId="12" fillId="2" borderId="79" xfId="0" applyFont="1" applyFill="1" applyBorder="1" applyAlignment="1">
      <alignment horizontal="right" vertical="center"/>
    </xf>
    <xf numFmtId="169" fontId="12" fillId="2" borderId="10" xfId="0" applyNumberFormat="1" applyFont="1" applyFill="1" applyBorder="1" applyAlignment="1">
      <alignment vertical="center"/>
    </xf>
    <xf numFmtId="169" fontId="12" fillId="2" borderId="80" xfId="0" applyNumberFormat="1" applyFont="1" applyFill="1" applyBorder="1" applyAlignment="1">
      <alignment vertical="center"/>
    </xf>
    <xf numFmtId="0" fontId="12" fillId="2" borderId="11" xfId="0" applyFont="1" applyFill="1" applyBorder="1" applyAlignment="1">
      <alignment horizontal="right" vertical="center" wrapText="1"/>
    </xf>
    <xf numFmtId="0" fontId="11" fillId="0" borderId="14" xfId="0" applyFont="1" applyFill="1" applyBorder="1" applyAlignment="1">
      <alignment vertical="center" wrapText="1"/>
    </xf>
    <xf numFmtId="169" fontId="11" fillId="0" borderId="16" xfId="3" applyNumberFormat="1" applyFont="1" applyFill="1" applyBorder="1" applyAlignment="1">
      <alignment vertical="center"/>
    </xf>
    <xf numFmtId="0" fontId="11" fillId="0" borderId="21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169" fontId="12" fillId="2" borderId="86" xfId="0" applyNumberFormat="1" applyFont="1" applyFill="1" applyBorder="1" applyAlignment="1">
      <alignment vertical="center"/>
    </xf>
    <xf numFmtId="177" fontId="11" fillId="0" borderId="2" xfId="0" applyNumberFormat="1" applyFont="1" applyFill="1" applyBorder="1" applyAlignment="1">
      <alignment vertical="center"/>
    </xf>
    <xf numFmtId="0" fontId="11" fillId="0" borderId="20" xfId="3" applyNumberFormat="1" applyFont="1" applyFill="1" applyBorder="1" applyAlignment="1">
      <alignment horizontal="center" vertical="center"/>
    </xf>
    <xf numFmtId="0" fontId="11" fillId="0" borderId="2" xfId="3" applyNumberFormat="1" applyFont="1" applyFill="1" applyBorder="1" applyAlignment="1">
      <alignment horizontal="center" vertical="center"/>
    </xf>
    <xf numFmtId="1" fontId="11" fillId="0" borderId="20" xfId="3" applyNumberFormat="1" applyFont="1" applyFill="1" applyBorder="1" applyAlignment="1">
      <alignment horizontal="center" vertical="center"/>
    </xf>
    <xf numFmtId="0" fontId="11" fillId="0" borderId="25" xfId="3" applyNumberFormat="1" applyFont="1" applyFill="1" applyBorder="1" applyAlignment="1">
      <alignment horizontal="center" vertical="center"/>
    </xf>
    <xf numFmtId="0" fontId="11" fillId="0" borderId="47" xfId="0" applyFont="1" applyFill="1" applyBorder="1" applyAlignment="1">
      <alignment horizontal="left" vertical="center" wrapText="1"/>
    </xf>
    <xf numFmtId="0" fontId="11" fillId="0" borderId="53" xfId="3" applyNumberFormat="1" applyFont="1" applyFill="1" applyBorder="1" applyAlignment="1">
      <alignment horizontal="center" vertical="center"/>
    </xf>
    <xf numFmtId="177" fontId="11" fillId="0" borderId="53" xfId="0" applyNumberFormat="1" applyFont="1" applyFill="1" applyBorder="1" applyAlignment="1">
      <alignment vertical="center"/>
    </xf>
    <xf numFmtId="1" fontId="11" fillId="0" borderId="50" xfId="3" applyNumberFormat="1" applyFont="1" applyFill="1" applyBorder="1" applyAlignment="1">
      <alignment horizontal="center" vertical="center"/>
    </xf>
    <xf numFmtId="0" fontId="11" fillId="0" borderId="49" xfId="0" applyFont="1" applyFill="1" applyBorder="1" applyAlignment="1">
      <alignment horizontal="left" vertical="center" wrapText="1"/>
    </xf>
    <xf numFmtId="177" fontId="11" fillId="0" borderId="10" xfId="0" applyNumberFormat="1" applyFont="1" applyFill="1" applyBorder="1" applyAlignment="1">
      <alignment vertical="center"/>
    </xf>
    <xf numFmtId="0" fontId="11" fillId="0" borderId="52" xfId="3" applyNumberFormat="1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vertical="center"/>
    </xf>
    <xf numFmtId="177" fontId="11" fillId="0" borderId="12" xfId="0" applyNumberFormat="1" applyFont="1" applyFill="1" applyBorder="1" applyAlignment="1">
      <alignment vertical="center"/>
    </xf>
    <xf numFmtId="0" fontId="11" fillId="0" borderId="23" xfId="3" applyNumberFormat="1" applyFont="1" applyFill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vertical="center"/>
    </xf>
    <xf numFmtId="0" fontId="11" fillId="0" borderId="60" xfId="0" applyFont="1" applyFill="1" applyBorder="1" applyAlignment="1">
      <alignment horizontal="left" vertical="center" wrapText="1"/>
    </xf>
    <xf numFmtId="1" fontId="11" fillId="0" borderId="61" xfId="3" applyNumberFormat="1" applyFont="1" applyFill="1" applyBorder="1" applyAlignment="1">
      <alignment horizontal="center" vertical="center"/>
    </xf>
    <xf numFmtId="169" fontId="11" fillId="0" borderId="61" xfId="3" applyNumberFormat="1" applyFont="1" applyFill="1" applyBorder="1" applyAlignment="1">
      <alignment vertical="center"/>
    </xf>
    <xf numFmtId="168" fontId="11" fillId="0" borderId="61" xfId="0" applyNumberFormat="1" applyFont="1" applyFill="1" applyBorder="1" applyAlignment="1">
      <alignment vertical="center"/>
    </xf>
    <xf numFmtId="0" fontId="11" fillId="0" borderId="62" xfId="3" applyNumberFormat="1" applyFont="1" applyFill="1" applyBorder="1" applyAlignment="1">
      <alignment horizontal="center" vertical="center"/>
    </xf>
    <xf numFmtId="9" fontId="11" fillId="0" borderId="2" xfId="1" applyFont="1" applyBorder="1" applyAlignment="1">
      <alignment horizontal="center"/>
    </xf>
    <xf numFmtId="9" fontId="11" fillId="0" borderId="20" xfId="1" applyFont="1" applyBorder="1" applyAlignment="1">
      <alignment horizontal="center"/>
    </xf>
    <xf numFmtId="169" fontId="12" fillId="0" borderId="2" xfId="3" applyNumberFormat="1" applyFont="1" applyBorder="1" applyAlignment="1"/>
    <xf numFmtId="169" fontId="12" fillId="0" borderId="20" xfId="3" applyNumberFormat="1" applyFont="1" applyBorder="1" applyAlignment="1"/>
    <xf numFmtId="0" fontId="12" fillId="6" borderId="2" xfId="0" applyFont="1" applyFill="1" applyBorder="1" applyAlignment="1">
      <alignment horizontal="center"/>
    </xf>
    <xf numFmtId="0" fontId="12" fillId="6" borderId="20" xfId="0" applyFont="1" applyFill="1" applyBorder="1" applyAlignment="1">
      <alignment horizontal="center"/>
    </xf>
    <xf numFmtId="169" fontId="42" fillId="0" borderId="0" xfId="1" applyNumberFormat="1" applyFont="1"/>
    <xf numFmtId="167" fontId="26" fillId="0" borderId="20" xfId="0" applyNumberFormat="1" applyFont="1" applyFill="1" applyBorder="1" applyAlignment="1">
      <alignment horizontal="right" vertical="center"/>
    </xf>
    <xf numFmtId="0" fontId="11" fillId="2" borderId="21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5" borderId="21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right"/>
    </xf>
    <xf numFmtId="0" fontId="11" fillId="0" borderId="24" xfId="0" applyFont="1" applyFill="1" applyBorder="1" applyAlignment="1">
      <alignment horizontal="center"/>
    </xf>
    <xf numFmtId="168" fontId="11" fillId="0" borderId="20" xfId="0" applyNumberFormat="1" applyFont="1" applyFill="1" applyBorder="1"/>
    <xf numFmtId="168" fontId="12" fillId="6" borderId="25" xfId="0" applyNumberFormat="1" applyFont="1" applyFill="1" applyBorder="1" applyAlignment="1">
      <alignment horizontal="right"/>
    </xf>
    <xf numFmtId="168" fontId="11" fillId="0" borderId="20" xfId="0" applyNumberFormat="1" applyFont="1" applyFill="1" applyBorder="1" applyAlignment="1">
      <alignment horizontal="right"/>
    </xf>
    <xf numFmtId="168" fontId="11" fillId="0" borderId="25" xfId="0" applyNumberFormat="1" applyFont="1" applyFill="1" applyBorder="1" applyAlignment="1">
      <alignment horizontal="right"/>
    </xf>
    <xf numFmtId="0" fontId="12" fillId="6" borderId="22" xfId="0" applyFont="1" applyFill="1" applyBorder="1" applyAlignment="1">
      <alignment horizontal="center" vertical="center" wrapText="1"/>
    </xf>
    <xf numFmtId="168" fontId="12" fillId="6" borderId="23" xfId="0" applyNumberFormat="1" applyFont="1" applyFill="1" applyBorder="1" applyAlignment="1">
      <alignment horizontal="right" vertical="center" wrapText="1"/>
    </xf>
    <xf numFmtId="0" fontId="19" fillId="0" borderId="1" xfId="0" applyFont="1" applyBorder="1"/>
    <xf numFmtId="169" fontId="18" fillId="0" borderId="2" xfId="3" applyNumberFormat="1" applyFont="1" applyBorder="1"/>
    <xf numFmtId="0" fontId="18" fillId="0" borderId="2" xfId="0" applyFont="1" applyBorder="1"/>
    <xf numFmtId="169" fontId="18" fillId="0" borderId="2" xfId="3" applyNumberFormat="1" applyFont="1" applyFill="1" applyBorder="1"/>
    <xf numFmtId="0" fontId="19" fillId="6" borderId="4" xfId="0" applyFont="1" applyFill="1" applyBorder="1"/>
    <xf numFmtId="0" fontId="19" fillId="6" borderId="5" xfId="0" applyFont="1" applyFill="1" applyBorder="1"/>
    <xf numFmtId="169" fontId="19" fillId="6" borderId="5" xfId="0" applyNumberFormat="1" applyFont="1" applyFill="1" applyBorder="1"/>
    <xf numFmtId="169" fontId="18" fillId="0" borderId="43" xfId="3" applyNumberFormat="1" applyFont="1" applyBorder="1"/>
    <xf numFmtId="169" fontId="19" fillId="0" borderId="43" xfId="3" applyNumberFormat="1" applyFont="1" applyFill="1" applyBorder="1"/>
    <xf numFmtId="9" fontId="18" fillId="0" borderId="87" xfId="1" applyFont="1" applyFill="1" applyBorder="1" applyAlignment="1">
      <alignment horizontal="center" vertical="center"/>
    </xf>
    <xf numFmtId="0" fontId="19" fillId="0" borderId="77" xfId="0" applyFont="1" applyBorder="1"/>
    <xf numFmtId="169" fontId="18" fillId="0" borderId="85" xfId="3" applyNumberFormat="1" applyFont="1" applyBorder="1"/>
    <xf numFmtId="9" fontId="18" fillId="0" borderId="88" xfId="1" applyFont="1" applyFill="1" applyBorder="1" applyAlignment="1">
      <alignment horizontal="center" vertical="center"/>
    </xf>
    <xf numFmtId="0" fontId="19" fillId="0" borderId="14" xfId="0" applyFont="1" applyBorder="1"/>
    <xf numFmtId="169" fontId="18" fillId="0" borderId="44" xfId="3" applyNumberFormat="1" applyFont="1" applyBorder="1"/>
    <xf numFmtId="9" fontId="33" fillId="0" borderId="91" xfId="1" applyFont="1" applyFill="1" applyBorder="1" applyAlignment="1">
      <alignment horizontal="center" vertical="center"/>
    </xf>
    <xf numFmtId="9" fontId="18" fillId="0" borderId="91" xfId="1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/>
    </xf>
    <xf numFmtId="0" fontId="19" fillId="6" borderId="3" xfId="0" applyFont="1" applyFill="1" applyBorder="1" applyAlignment="1">
      <alignment horizontal="center"/>
    </xf>
    <xf numFmtId="0" fontId="19" fillId="0" borderId="1" xfId="0" applyFont="1" applyBorder="1" applyAlignment="1"/>
    <xf numFmtId="0" fontId="18" fillId="0" borderId="2" xfId="0" applyFont="1" applyBorder="1" applyAlignment="1"/>
    <xf numFmtId="169" fontId="18" fillId="0" borderId="2" xfId="3" applyNumberFormat="1" applyFont="1" applyBorder="1" applyAlignment="1"/>
    <xf numFmtId="169" fontId="18" fillId="0" borderId="3" xfId="3" applyNumberFormat="1" applyFont="1" applyBorder="1" applyAlignment="1"/>
    <xf numFmtId="169" fontId="18" fillId="0" borderId="2" xfId="0" applyNumberFormat="1" applyFont="1" applyBorder="1" applyAlignment="1"/>
    <xf numFmtId="169" fontId="19" fillId="0" borderId="3" xfId="3" applyNumberFormat="1" applyFont="1" applyBorder="1" applyAlignment="1"/>
    <xf numFmtId="0" fontId="19" fillId="0" borderId="1" xfId="0" applyFont="1" applyFill="1" applyBorder="1" applyAlignment="1"/>
    <xf numFmtId="0" fontId="23" fillId="12" borderId="5" xfId="0" applyFont="1" applyFill="1" applyBorder="1" applyAlignment="1">
      <alignment horizontal="center"/>
    </xf>
    <xf numFmtId="0" fontId="23" fillId="9" borderId="5" xfId="0" applyFont="1" applyFill="1" applyBorder="1" applyAlignment="1">
      <alignment horizontal="center"/>
    </xf>
    <xf numFmtId="169" fontId="19" fillId="13" borderId="2" xfId="3" applyNumberFormat="1" applyFont="1" applyFill="1" applyBorder="1" applyAlignment="1"/>
    <xf numFmtId="169" fontId="19" fillId="13" borderId="3" xfId="3" applyNumberFormat="1" applyFont="1" applyFill="1" applyBorder="1" applyAlignment="1"/>
    <xf numFmtId="10" fontId="19" fillId="13" borderId="2" xfId="1" applyNumberFormat="1" applyFont="1" applyFill="1" applyBorder="1" applyAlignment="1">
      <alignment horizontal="center"/>
    </xf>
    <xf numFmtId="10" fontId="19" fillId="13" borderId="3" xfId="1" applyNumberFormat="1" applyFont="1" applyFill="1" applyBorder="1" applyAlignment="1">
      <alignment horizontal="center"/>
    </xf>
    <xf numFmtId="169" fontId="19" fillId="6" borderId="2" xfId="0" applyNumberFormat="1" applyFont="1" applyFill="1" applyBorder="1" applyAlignment="1"/>
    <xf numFmtId="169" fontId="19" fillId="6" borderId="3" xfId="0" applyNumberFormat="1" applyFont="1" applyFill="1" applyBorder="1" applyAlignment="1"/>
    <xf numFmtId="0" fontId="19" fillId="6" borderId="6" xfId="0" applyFont="1" applyFill="1" applyBorder="1" applyAlignment="1">
      <alignment horizontal="center"/>
    </xf>
    <xf numFmtId="0" fontId="18" fillId="0" borderId="2" xfId="0" applyFont="1" applyFill="1" applyBorder="1" applyAlignment="1"/>
    <xf numFmtId="169" fontId="19" fillId="6" borderId="53" xfId="0" applyNumberFormat="1" applyFont="1" applyFill="1" applyBorder="1" applyAlignment="1"/>
    <xf numFmtId="169" fontId="19" fillId="6" borderId="78" xfId="0" applyNumberFormat="1" applyFont="1" applyFill="1" applyBorder="1" applyAlignment="1"/>
    <xf numFmtId="0" fontId="19" fillId="0" borderId="11" xfId="0" applyFont="1" applyFill="1" applyBorder="1" applyAlignment="1"/>
    <xf numFmtId="0" fontId="18" fillId="0" borderId="12" xfId="0" applyFont="1" applyFill="1" applyBorder="1" applyAlignment="1">
      <alignment horizontal="right" shrinkToFit="1"/>
    </xf>
    <xf numFmtId="0" fontId="19" fillId="0" borderId="14" xfId="0" applyFont="1" applyBorder="1" applyAlignment="1"/>
    <xf numFmtId="0" fontId="18" fillId="0" borderId="15" xfId="0" applyFont="1" applyBorder="1" applyAlignment="1">
      <alignment horizontal="right"/>
    </xf>
    <xf numFmtId="169" fontId="18" fillId="0" borderId="15" xfId="3" applyNumberFormat="1" applyFont="1" applyBorder="1" applyAlignment="1">
      <alignment horizontal="center"/>
    </xf>
    <xf numFmtId="169" fontId="23" fillId="12" borderId="10" xfId="0" applyNumberFormat="1" applyFont="1" applyFill="1" applyBorder="1" applyAlignment="1"/>
    <xf numFmtId="169" fontId="23" fillId="9" borderId="10" xfId="0" applyNumberFormat="1" applyFont="1" applyFill="1" applyBorder="1" applyAlignment="1"/>
    <xf numFmtId="169" fontId="18" fillId="6" borderId="80" xfId="0" applyNumberFormat="1" applyFont="1" applyFill="1" applyBorder="1" applyAlignment="1"/>
    <xf numFmtId="0" fontId="19" fillId="0" borderId="11" xfId="0" applyFont="1" applyBorder="1" applyAlignment="1"/>
    <xf numFmtId="0" fontId="18" fillId="0" borderId="12" xfId="0" applyFont="1" applyBorder="1" applyAlignment="1">
      <alignment horizontal="right"/>
    </xf>
    <xf numFmtId="0" fontId="19" fillId="0" borderId="14" xfId="0" applyFont="1" applyFill="1" applyBorder="1" applyAlignment="1"/>
    <xf numFmtId="0" fontId="18" fillId="0" borderId="15" xfId="0" applyFont="1" applyFill="1" applyBorder="1" applyAlignment="1">
      <alignment horizontal="right"/>
    </xf>
    <xf numFmtId="169" fontId="19" fillId="0" borderId="15" xfId="0" applyNumberFormat="1" applyFont="1" applyFill="1" applyBorder="1" applyAlignment="1"/>
    <xf numFmtId="169" fontId="19" fillId="0" borderId="16" xfId="0" applyNumberFormat="1" applyFont="1" applyFill="1" applyBorder="1" applyAlignment="1"/>
    <xf numFmtId="168" fontId="31" fillId="11" borderId="12" xfId="0" applyNumberFormat="1" applyFont="1" applyFill="1" applyBorder="1" applyAlignment="1">
      <alignment horizontal="right"/>
    </xf>
    <xf numFmtId="168" fontId="31" fillId="11" borderId="13" xfId="0" applyNumberFormat="1" applyFont="1" applyFill="1" applyBorder="1" applyAlignment="1">
      <alignment horizontal="right"/>
    </xf>
    <xf numFmtId="169" fontId="30" fillId="11" borderId="16" xfId="3" applyNumberFormat="1" applyFont="1" applyFill="1" applyBorder="1" applyAlignment="1"/>
    <xf numFmtId="169" fontId="30" fillId="11" borderId="12" xfId="1" applyNumberFormat="1" applyFont="1" applyFill="1" applyBorder="1" applyAlignment="1"/>
    <xf numFmtId="169" fontId="30" fillId="11" borderId="12" xfId="0" applyNumberFormat="1" applyFont="1" applyFill="1" applyBorder="1" applyAlignment="1"/>
    <xf numFmtId="169" fontId="30" fillId="11" borderId="13" xfId="0" applyNumberFormat="1" applyFont="1" applyFill="1" applyBorder="1" applyAlignment="1"/>
    <xf numFmtId="167" fontId="11" fillId="2" borderId="2" xfId="0" applyNumberFormat="1" applyFont="1" applyFill="1" applyBorder="1" applyAlignment="1">
      <alignment horizontal="right" vertical="center" wrapText="1"/>
    </xf>
    <xf numFmtId="168" fontId="11" fillId="0" borderId="20" xfId="0" applyNumberFormat="1" applyFont="1" applyBorder="1" applyAlignment="1">
      <alignment horizontal="right" vertical="center"/>
    </xf>
    <xf numFmtId="167" fontId="11" fillId="0" borderId="2" xfId="0" applyNumberFormat="1" applyFont="1" applyFill="1" applyBorder="1" applyAlignment="1">
      <alignment horizontal="right" vertical="center" wrapText="1"/>
    </xf>
    <xf numFmtId="168" fontId="12" fillId="6" borderId="12" xfId="0" applyNumberFormat="1" applyFont="1" applyFill="1" applyBorder="1" applyAlignment="1">
      <alignment horizontal="right" vertical="center"/>
    </xf>
    <xf numFmtId="168" fontId="12" fillId="2" borderId="2" xfId="0" applyNumberFormat="1" applyFont="1" applyFill="1" applyBorder="1" applyAlignment="1">
      <alignment horizontal="right" vertical="center"/>
    </xf>
    <xf numFmtId="168" fontId="12" fillId="6" borderId="2" xfId="0" applyNumberFormat="1" applyFont="1" applyFill="1" applyBorder="1" applyAlignment="1">
      <alignment horizontal="right" vertical="center"/>
    </xf>
    <xf numFmtId="168" fontId="28" fillId="0" borderId="2" xfId="0" applyNumberFormat="1" applyFont="1" applyFill="1" applyBorder="1" applyAlignment="1">
      <alignment horizontal="right" vertical="center"/>
    </xf>
    <xf numFmtId="168" fontId="11" fillId="0" borderId="20" xfId="0" applyNumberFormat="1" applyFont="1" applyFill="1" applyBorder="1" applyAlignment="1">
      <alignment horizontal="center"/>
    </xf>
    <xf numFmtId="9" fontId="19" fillId="3" borderId="2" xfId="1" applyFont="1" applyFill="1" applyBorder="1" applyAlignment="1">
      <alignment horizontal="center"/>
    </xf>
    <xf numFmtId="9" fontId="19" fillId="3" borderId="3" xfId="1" applyFont="1" applyFill="1" applyBorder="1" applyAlignment="1">
      <alignment horizontal="center"/>
    </xf>
    <xf numFmtId="0" fontId="11" fillId="6" borderId="1" xfId="0" applyFont="1" applyFill="1" applyBorder="1" applyAlignment="1">
      <alignment horizontal="left"/>
    </xf>
    <xf numFmtId="169" fontId="11" fillId="6" borderId="2" xfId="0" applyNumberFormat="1" applyFont="1" applyFill="1" applyBorder="1"/>
    <xf numFmtId="169" fontId="11" fillId="6" borderId="3" xfId="0" applyNumberFormat="1" applyFont="1" applyFill="1" applyBorder="1"/>
    <xf numFmtId="170" fontId="11" fillId="0" borderId="2" xfId="1" applyNumberFormat="1" applyFont="1" applyBorder="1" applyAlignment="1">
      <alignment horizontal="center"/>
    </xf>
    <xf numFmtId="170" fontId="11" fillId="0" borderId="3" xfId="1" applyNumberFormat="1" applyFont="1" applyBorder="1" applyAlignment="1">
      <alignment horizontal="center"/>
    </xf>
    <xf numFmtId="169" fontId="11" fillId="0" borderId="3" xfId="1" applyNumberFormat="1" applyFont="1" applyBorder="1"/>
    <xf numFmtId="10" fontId="11" fillId="0" borderId="2" xfId="1" applyNumberFormat="1" applyFont="1" applyBorder="1"/>
    <xf numFmtId="9" fontId="11" fillId="0" borderId="2" xfId="1" applyFont="1" applyBorder="1"/>
    <xf numFmtId="9" fontId="11" fillId="0" borderId="3" xfId="1" applyFont="1" applyBorder="1"/>
    <xf numFmtId="0" fontId="11" fillId="6" borderId="1" xfId="0" applyFont="1" applyFill="1" applyBorder="1"/>
    <xf numFmtId="169" fontId="11" fillId="6" borderId="2" xfId="3" applyNumberFormat="1" applyFont="1" applyFill="1" applyBorder="1"/>
    <xf numFmtId="169" fontId="11" fillId="6" borderId="3" xfId="3" applyNumberFormat="1" applyFont="1" applyFill="1" applyBorder="1"/>
    <xf numFmtId="0" fontId="11" fillId="0" borderId="4" xfId="0" applyFont="1" applyBorder="1"/>
    <xf numFmtId="169" fontId="11" fillId="0" borderId="5" xfId="3" applyNumberFormat="1" applyFont="1" applyBorder="1"/>
    <xf numFmtId="169" fontId="11" fillId="0" borderId="6" xfId="1" applyNumberFormat="1" applyFont="1" applyBorder="1"/>
    <xf numFmtId="169" fontId="12" fillId="0" borderId="2" xfId="0" applyNumberFormat="1" applyFont="1" applyFill="1" applyBorder="1"/>
    <xf numFmtId="169" fontId="12" fillId="0" borderId="3" xfId="0" applyNumberFormat="1" applyFont="1" applyFill="1" applyBorder="1"/>
    <xf numFmtId="9" fontId="12" fillId="0" borderId="5" xfId="1" applyFont="1" applyFill="1" applyBorder="1" applyAlignment="1">
      <alignment horizontal="center"/>
    </xf>
    <xf numFmtId="9" fontId="12" fillId="0" borderId="6" xfId="1" applyFont="1" applyFill="1" applyBorder="1" applyAlignment="1">
      <alignment horizontal="center"/>
    </xf>
    <xf numFmtId="0" fontId="12" fillId="0" borderId="1" xfId="0" applyFont="1" applyBorder="1"/>
    <xf numFmtId="9" fontId="22" fillId="0" borderId="2" xfId="1" applyFont="1" applyBorder="1" applyAlignment="1">
      <alignment horizontal="center"/>
    </xf>
    <xf numFmtId="9" fontId="22" fillId="0" borderId="20" xfId="1" applyFont="1" applyBorder="1" applyAlignment="1">
      <alignment horizontal="center"/>
    </xf>
    <xf numFmtId="170" fontId="22" fillId="0" borderId="21" xfId="1" applyNumberFormat="1" applyFont="1" applyBorder="1" applyAlignment="1">
      <alignment horizontal="center"/>
    </xf>
    <xf numFmtId="0" fontId="22" fillId="0" borderId="2" xfId="0" applyFont="1" applyBorder="1"/>
    <xf numFmtId="169" fontId="22" fillId="0" borderId="2" xfId="3" applyNumberFormat="1" applyFont="1" applyBorder="1"/>
    <xf numFmtId="169" fontId="22" fillId="0" borderId="2" xfId="0" applyNumberFormat="1" applyFont="1" applyBorder="1"/>
    <xf numFmtId="169" fontId="22" fillId="0" borderId="20" xfId="0" applyNumberFormat="1" applyFont="1" applyBorder="1"/>
    <xf numFmtId="9" fontId="14" fillId="6" borderId="15" xfId="1" applyFont="1" applyFill="1" applyBorder="1" applyAlignment="1">
      <alignment horizontal="center"/>
    </xf>
    <xf numFmtId="9" fontId="14" fillId="6" borderId="25" xfId="1" applyFont="1" applyFill="1" applyBorder="1" applyAlignment="1">
      <alignment horizontal="center"/>
    </xf>
    <xf numFmtId="0" fontId="22" fillId="0" borderId="2" xfId="0" applyFont="1" applyFill="1" applyBorder="1"/>
    <xf numFmtId="169" fontId="22" fillId="0" borderId="2" xfId="3" applyNumberFormat="1" applyFont="1" applyFill="1" applyBorder="1"/>
    <xf numFmtId="169" fontId="22" fillId="0" borderId="2" xfId="0" applyNumberFormat="1" applyFont="1" applyFill="1" applyBorder="1"/>
    <xf numFmtId="169" fontId="22" fillId="0" borderId="20" xfId="0" applyNumberFormat="1" applyFont="1" applyFill="1" applyBorder="1"/>
    <xf numFmtId="0" fontId="14" fillId="6" borderId="12" xfId="0" applyFont="1" applyFill="1" applyBorder="1" applyAlignment="1">
      <alignment horizontal="center"/>
    </xf>
    <xf numFmtId="0" fontId="14" fillId="6" borderId="23" xfId="0" applyFont="1" applyFill="1" applyBorder="1" applyAlignment="1">
      <alignment horizontal="center"/>
    </xf>
    <xf numFmtId="169" fontId="14" fillId="0" borderId="15" xfId="3" applyNumberFormat="1" applyFont="1" applyBorder="1" applyAlignment="1"/>
    <xf numFmtId="169" fontId="14" fillId="0" borderId="25" xfId="3" applyNumberFormat="1" applyFont="1" applyBorder="1" applyAlignment="1"/>
    <xf numFmtId="170" fontId="22" fillId="0" borderId="22" xfId="1" applyNumberFormat="1" applyFont="1" applyBorder="1" applyAlignment="1">
      <alignment horizontal="center"/>
    </xf>
    <xf numFmtId="0" fontId="22" fillId="0" borderId="12" xfId="0" applyFont="1" applyBorder="1"/>
    <xf numFmtId="169" fontId="22" fillId="0" borderId="12" xfId="3" applyNumberFormat="1" applyFont="1" applyBorder="1"/>
    <xf numFmtId="169" fontId="22" fillId="0" borderId="12" xfId="0" applyNumberFormat="1" applyFont="1" applyBorder="1"/>
    <xf numFmtId="169" fontId="22" fillId="0" borderId="23" xfId="0" applyNumberFormat="1" applyFont="1" applyBorder="1"/>
    <xf numFmtId="170" fontId="22" fillId="0" borderId="47" xfId="1" applyNumberFormat="1" applyFont="1" applyBorder="1" applyAlignment="1">
      <alignment horizontal="center"/>
    </xf>
    <xf numFmtId="0" fontId="22" fillId="0" borderId="53" xfId="0" applyFont="1" applyBorder="1"/>
    <xf numFmtId="169" fontId="22" fillId="0" borderId="53" xfId="3" applyNumberFormat="1" applyFont="1" applyBorder="1"/>
    <xf numFmtId="169" fontId="22" fillId="0" borderId="53" xfId="0" applyNumberFormat="1" applyFont="1" applyBorder="1"/>
    <xf numFmtId="169" fontId="22" fillId="0" borderId="50" xfId="0" applyNumberFormat="1" applyFont="1" applyBorder="1"/>
    <xf numFmtId="9" fontId="14" fillId="6" borderId="22" xfId="1" applyNumberFormat="1" applyFont="1" applyFill="1" applyBorder="1" applyAlignment="1">
      <alignment horizontal="center"/>
    </xf>
    <xf numFmtId="0" fontId="14" fillId="6" borderId="12" xfId="0" applyFont="1" applyFill="1" applyBorder="1" applyAlignment="1">
      <alignment horizontal="right"/>
    </xf>
    <xf numFmtId="169" fontId="14" fillId="6" borderId="12" xfId="3" applyNumberFormat="1" applyFont="1" applyFill="1" applyBorder="1"/>
    <xf numFmtId="169" fontId="14" fillId="6" borderId="12" xfId="0" applyNumberFormat="1" applyFont="1" applyFill="1" applyBorder="1"/>
    <xf numFmtId="169" fontId="14" fillId="6" borderId="23" xfId="0" applyNumberFormat="1" applyFont="1" applyFill="1" applyBorder="1"/>
    <xf numFmtId="0" fontId="11" fillId="0" borderId="21" xfId="0" applyFont="1" applyBorder="1" applyAlignment="1">
      <alignment horizontal="right"/>
    </xf>
    <xf numFmtId="169" fontId="18" fillId="0" borderId="43" xfId="0" applyNumberFormat="1" applyFont="1" applyBorder="1"/>
    <xf numFmtId="169" fontId="19" fillId="6" borderId="94" xfId="0" applyNumberFormat="1" applyFont="1" applyFill="1" applyBorder="1"/>
    <xf numFmtId="9" fontId="18" fillId="0" borderId="87" xfId="1" applyFont="1" applyBorder="1" applyAlignment="1">
      <alignment horizontal="center"/>
    </xf>
    <xf numFmtId="9" fontId="19" fillId="6" borderId="93" xfId="1" applyFont="1" applyFill="1" applyBorder="1" applyAlignment="1">
      <alignment horizontal="center"/>
    </xf>
    <xf numFmtId="0" fontId="19" fillId="6" borderId="10" xfId="0" applyFont="1" applyFill="1" applyBorder="1" applyAlignment="1">
      <alignment horizontal="center"/>
    </xf>
    <xf numFmtId="0" fontId="19" fillId="6" borderId="86" xfId="0" applyFont="1" applyFill="1" applyBorder="1" applyAlignment="1">
      <alignment horizontal="center"/>
    </xf>
    <xf numFmtId="0" fontId="19" fillId="6" borderId="89" xfId="0" applyFont="1" applyFill="1" applyBorder="1" applyAlignment="1">
      <alignment horizontal="center"/>
    </xf>
    <xf numFmtId="0" fontId="19" fillId="6" borderId="2" xfId="0" applyFont="1" applyFill="1" applyBorder="1" applyAlignment="1"/>
    <xf numFmtId="0" fontId="19" fillId="6" borderId="53" xfId="0" applyFont="1" applyFill="1" applyBorder="1" applyAlignment="1"/>
    <xf numFmtId="0" fontId="19" fillId="6" borderId="1" xfId="0" applyFont="1" applyFill="1" applyBorder="1" applyAlignment="1"/>
    <xf numFmtId="0" fontId="19" fillId="6" borderId="77" xfId="0" applyFont="1" applyFill="1" applyBorder="1" applyAlignment="1"/>
    <xf numFmtId="0" fontId="18" fillId="0" borderId="2" xfId="0" applyFont="1" applyBorder="1" applyAlignment="1">
      <alignment horizontal="center"/>
    </xf>
    <xf numFmtId="168" fontId="19" fillId="6" borderId="15" xfId="0" applyNumberFormat="1" applyFont="1" applyFill="1" applyBorder="1"/>
    <xf numFmtId="0" fontId="18" fillId="0" borderId="2" xfId="0" applyFont="1" applyBorder="1" applyAlignment="1">
      <alignment horizontal="center" vertical="center"/>
    </xf>
    <xf numFmtId="0" fontId="11" fillId="0" borderId="0" xfId="0" applyFont="1"/>
    <xf numFmtId="0" fontId="12" fillId="7" borderId="21" xfId="0" applyFont="1" applyFill="1" applyBorder="1" applyAlignment="1"/>
    <xf numFmtId="168" fontId="11" fillId="0" borderId="0" xfId="0" applyNumberFormat="1" applyFont="1"/>
    <xf numFmtId="3" fontId="11" fillId="2" borderId="2" xfId="0" applyNumberFormat="1" applyFont="1" applyFill="1" applyBorder="1" applyAlignment="1">
      <alignment horizontal="center"/>
    </xf>
    <xf numFmtId="167" fontId="11" fillId="2" borderId="2" xfId="0" applyNumberFormat="1" applyFont="1" applyFill="1" applyBorder="1" applyAlignment="1"/>
    <xf numFmtId="9" fontId="11" fillId="2" borderId="2" xfId="1" applyFont="1" applyFill="1" applyBorder="1" applyAlignment="1">
      <alignment horizontal="center" vertical="center"/>
    </xf>
    <xf numFmtId="168" fontId="11" fillId="2" borderId="2" xfId="0" applyNumberFormat="1" applyFont="1" applyFill="1" applyBorder="1"/>
    <xf numFmtId="4" fontId="11" fillId="2" borderId="2" xfId="0" applyNumberFormat="1" applyFont="1" applyFill="1" applyBorder="1"/>
    <xf numFmtId="0" fontId="11" fillId="2" borderId="2" xfId="0" applyFont="1" applyFill="1" applyBorder="1" applyAlignment="1">
      <alignment horizontal="center"/>
    </xf>
    <xf numFmtId="9" fontId="11" fillId="2" borderId="2" xfId="1" applyFont="1" applyFill="1" applyBorder="1" applyAlignment="1">
      <alignment horizontal="center"/>
    </xf>
    <xf numFmtId="9" fontId="11" fillId="2" borderId="20" xfId="1" applyFont="1" applyFill="1" applyBorder="1" applyAlignment="1">
      <alignment horizontal="center"/>
    </xf>
    <xf numFmtId="2" fontId="11" fillId="0" borderId="0" xfId="0" applyNumberFormat="1" applyFont="1"/>
    <xf numFmtId="2" fontId="11" fillId="0" borderId="0" xfId="1" applyNumberFormat="1" applyFont="1"/>
    <xf numFmtId="9" fontId="11" fillId="0" borderId="0" xfId="1" applyFont="1"/>
    <xf numFmtId="3" fontId="11" fillId="5" borderId="2" xfId="0" applyNumberFormat="1" applyFont="1" applyFill="1" applyBorder="1" applyAlignment="1">
      <alignment horizontal="center"/>
    </xf>
    <xf numFmtId="167" fontId="11" fillId="0" borderId="2" xfId="0" applyNumberFormat="1" applyFont="1" applyFill="1" applyBorder="1" applyAlignment="1"/>
    <xf numFmtId="9" fontId="11" fillId="5" borderId="2" xfId="1" applyFont="1" applyFill="1" applyBorder="1" applyAlignment="1">
      <alignment horizontal="center" vertical="center"/>
    </xf>
    <xf numFmtId="4" fontId="11" fillId="5" borderId="2" xfId="0" applyNumberFormat="1" applyFont="1" applyFill="1" applyBorder="1"/>
    <xf numFmtId="9" fontId="11" fillId="0" borderId="2" xfId="1" applyFont="1" applyFill="1" applyBorder="1" applyAlignment="1">
      <alignment horizontal="center"/>
    </xf>
    <xf numFmtId="3" fontId="11" fillId="0" borderId="2" xfId="0" applyNumberFormat="1" applyFont="1" applyFill="1" applyBorder="1" applyAlignment="1">
      <alignment horizontal="center"/>
    </xf>
    <xf numFmtId="0" fontId="12" fillId="6" borderId="24" xfId="0" applyFont="1" applyFill="1" applyBorder="1" applyAlignment="1">
      <alignment horizontal="center"/>
    </xf>
    <xf numFmtId="3" fontId="12" fillId="6" borderId="15" xfId="0" applyNumberFormat="1" applyFont="1" applyFill="1" applyBorder="1" applyAlignment="1">
      <alignment horizontal="center"/>
    </xf>
    <xf numFmtId="167" fontId="12" fillId="6" borderId="15" xfId="0" applyNumberFormat="1" applyFont="1" applyFill="1" applyBorder="1" applyAlignment="1">
      <alignment horizontal="right"/>
    </xf>
    <xf numFmtId="9" fontId="12" fillId="6" borderId="15" xfId="1" applyFont="1" applyFill="1" applyBorder="1" applyAlignment="1">
      <alignment horizontal="center" vertical="center"/>
    </xf>
    <xf numFmtId="168" fontId="12" fillId="6" borderId="15" xfId="0" applyNumberFormat="1" applyFont="1" applyFill="1" applyBorder="1"/>
    <xf numFmtId="4" fontId="12" fillId="6" borderId="15" xfId="0" applyNumberFormat="1" applyFont="1" applyFill="1" applyBorder="1"/>
    <xf numFmtId="0" fontId="12" fillId="6" borderId="15" xfId="0" applyFont="1" applyFill="1" applyBorder="1" applyAlignment="1">
      <alignment horizontal="center" vertical="center"/>
    </xf>
    <xf numFmtId="9" fontId="12" fillId="6" borderId="25" xfId="1" applyFont="1" applyFill="1" applyBorder="1" applyAlignment="1">
      <alignment horizontal="center" vertical="center"/>
    </xf>
    <xf numFmtId="166" fontId="11" fillId="0" borderId="0" xfId="0" applyNumberFormat="1" applyFont="1"/>
    <xf numFmtId="3" fontId="11" fillId="0" borderId="0" xfId="0" applyNumberFormat="1" applyFont="1" applyFill="1" applyBorder="1" applyAlignment="1">
      <alignment horizontal="center"/>
    </xf>
    <xf numFmtId="167" fontId="11" fillId="0" borderId="0" xfId="0" applyNumberFormat="1" applyFont="1"/>
    <xf numFmtId="0" fontId="12" fillId="5" borderId="2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188" fontId="11" fillId="0" borderId="0" xfId="0" applyNumberFormat="1" applyFont="1"/>
    <xf numFmtId="184" fontId="11" fillId="0" borderId="0" xfId="0" applyNumberFormat="1" applyFont="1"/>
    <xf numFmtId="4" fontId="12" fillId="6" borderId="15" xfId="0" applyNumberFormat="1" applyFont="1" applyFill="1" applyBorder="1" applyAlignment="1">
      <alignment horizontal="center"/>
    </xf>
    <xf numFmtId="174" fontId="12" fillId="6" borderId="25" xfId="0" applyNumberFormat="1" applyFont="1" applyFill="1" applyBorder="1"/>
    <xf numFmtId="4" fontId="11" fillId="0" borderId="0" xfId="0" applyNumberFormat="1" applyFont="1"/>
    <xf numFmtId="189" fontId="11" fillId="0" borderId="0" xfId="0" applyNumberFormat="1" applyFont="1"/>
    <xf numFmtId="173" fontId="11" fillId="0" borderId="0" xfId="0" applyNumberFormat="1" applyFont="1"/>
    <xf numFmtId="0" fontId="11" fillId="0" borderId="69" xfId="0" applyFont="1" applyBorder="1"/>
    <xf numFmtId="0" fontId="11" fillId="0" borderId="98" xfId="0" applyFont="1" applyBorder="1"/>
    <xf numFmtId="0" fontId="12" fillId="6" borderId="49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9" fontId="11" fillId="0" borderId="2" xfId="1" applyNumberFormat="1" applyFont="1" applyBorder="1"/>
    <xf numFmtId="3" fontId="11" fillId="0" borderId="2" xfId="0" applyNumberFormat="1" applyFont="1" applyBorder="1" applyAlignment="1">
      <alignment horizontal="center"/>
    </xf>
    <xf numFmtId="9" fontId="11" fillId="0" borderId="20" xfId="1" applyFont="1" applyBorder="1"/>
    <xf numFmtId="0" fontId="12" fillId="6" borderId="21" xfId="0" applyFont="1" applyFill="1" applyBorder="1" applyAlignment="1">
      <alignment horizontal="right" vertical="center" wrapText="1"/>
    </xf>
    <xf numFmtId="9" fontId="12" fillId="6" borderId="2" xfId="1" applyFont="1" applyFill="1" applyBorder="1" applyAlignment="1">
      <alignment horizontal="center" vertical="center"/>
    </xf>
    <xf numFmtId="9" fontId="12" fillId="6" borderId="2" xfId="1" applyFont="1" applyFill="1" applyBorder="1" applyAlignment="1">
      <alignment vertical="center"/>
    </xf>
    <xf numFmtId="9" fontId="12" fillId="6" borderId="20" xfId="1" applyFont="1" applyFill="1" applyBorder="1" applyAlignment="1">
      <alignment vertical="center"/>
    </xf>
    <xf numFmtId="0" fontId="12" fillId="6" borderId="24" xfId="0" applyFont="1" applyFill="1" applyBorder="1" applyAlignment="1">
      <alignment horizontal="right" vertical="center" wrapText="1"/>
    </xf>
    <xf numFmtId="1" fontId="12" fillId="6" borderId="15" xfId="0" applyNumberFormat="1" applyFont="1" applyFill="1" applyBorder="1" applyAlignment="1">
      <alignment horizontal="center" vertical="center"/>
    </xf>
    <xf numFmtId="9" fontId="12" fillId="6" borderId="15" xfId="1" applyFont="1" applyFill="1" applyBorder="1" applyAlignment="1">
      <alignment vertical="center"/>
    </xf>
    <xf numFmtId="9" fontId="12" fillId="6" borderId="25" xfId="1" applyFont="1" applyFill="1" applyBorder="1" applyAlignment="1">
      <alignment vertical="center"/>
    </xf>
    <xf numFmtId="9" fontId="11" fillId="0" borderId="2" xfId="0" applyNumberFormat="1" applyFont="1" applyBorder="1" applyAlignment="1">
      <alignment horizontal="center"/>
    </xf>
    <xf numFmtId="0" fontId="11" fillId="0" borderId="48" xfId="0" applyFont="1" applyBorder="1"/>
    <xf numFmtId="0" fontId="11" fillId="0" borderId="51" xfId="0" applyFont="1" applyBorder="1"/>
    <xf numFmtId="0" fontId="11" fillId="6" borderId="2" xfId="0" applyFont="1" applyFill="1" applyBorder="1"/>
    <xf numFmtId="0" fontId="12" fillId="0" borderId="2" xfId="0" applyFont="1" applyBorder="1" applyAlignment="1">
      <alignment horizontal="right"/>
    </xf>
    <xf numFmtId="9" fontId="11" fillId="0" borderId="2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9" fontId="12" fillId="0" borderId="2" xfId="1" applyFont="1" applyBorder="1" applyAlignment="1">
      <alignment horizontal="center" vertical="center"/>
    </xf>
    <xf numFmtId="9" fontId="12" fillId="0" borderId="2" xfId="1" applyFont="1" applyBorder="1" applyAlignment="1">
      <alignment horizontal="center"/>
    </xf>
    <xf numFmtId="0" fontId="11" fillId="0" borderId="56" xfId="0" applyFont="1" applyBorder="1"/>
    <xf numFmtId="0" fontId="12" fillId="0" borderId="15" xfId="0" applyFont="1" applyBorder="1" applyAlignment="1">
      <alignment horizontal="right"/>
    </xf>
    <xf numFmtId="0" fontId="12" fillId="0" borderId="15" xfId="0" applyFont="1" applyBorder="1" applyAlignment="1">
      <alignment horizontal="center" vertical="center"/>
    </xf>
    <xf numFmtId="9" fontId="12" fillId="0" borderId="15" xfId="1" applyFont="1" applyBorder="1" applyAlignment="1">
      <alignment horizontal="center" vertical="center"/>
    </xf>
    <xf numFmtId="0" fontId="12" fillId="0" borderId="15" xfId="0" applyFont="1" applyBorder="1" applyAlignment="1">
      <alignment horizontal="center"/>
    </xf>
    <xf numFmtId="0" fontId="11" fillId="0" borderId="57" xfId="0" applyFont="1" applyBorder="1"/>
    <xf numFmtId="0" fontId="12" fillId="6" borderId="21" xfId="0" applyFont="1" applyFill="1" applyBorder="1" applyAlignment="1">
      <alignment horizontal="center"/>
    </xf>
    <xf numFmtId="0" fontId="23" fillId="7" borderId="61" xfId="0" applyFont="1" applyFill="1" applyBorder="1" applyAlignment="1">
      <alignment horizontal="center" vertical="center" wrapText="1"/>
    </xf>
    <xf numFmtId="0" fontId="23" fillId="7" borderId="62" xfId="0" applyFont="1" applyFill="1" applyBorder="1" applyAlignment="1">
      <alignment horizontal="center" vertical="center" wrapText="1"/>
    </xf>
    <xf numFmtId="168" fontId="14" fillId="6" borderId="43" xfId="0" applyNumberFormat="1" applyFont="1" applyFill="1" applyBorder="1"/>
    <xf numFmtId="168" fontId="12" fillId="6" borderId="43" xfId="0" applyNumberFormat="1" applyFont="1" applyFill="1" applyBorder="1"/>
    <xf numFmtId="168" fontId="11" fillId="0" borderId="43" xfId="0" applyNumberFormat="1" applyFont="1" applyBorder="1"/>
    <xf numFmtId="168" fontId="12" fillId="6" borderId="43" xfId="0" applyNumberFormat="1" applyFont="1" applyFill="1" applyBorder="1" applyAlignment="1">
      <alignment horizontal="center"/>
    </xf>
    <xf numFmtId="168" fontId="11" fillId="5" borderId="43" xfId="0" applyNumberFormat="1" applyFont="1" applyFill="1" applyBorder="1" applyAlignment="1">
      <alignment horizontal="right" vertical="center" wrapText="1"/>
    </xf>
    <xf numFmtId="168" fontId="11" fillId="0" borderId="43" xfId="0" applyNumberFormat="1" applyFont="1" applyFill="1" applyBorder="1"/>
    <xf numFmtId="0" fontId="2" fillId="6" borderId="43" xfId="0" applyFont="1" applyFill="1" applyBorder="1" applyAlignment="1"/>
    <xf numFmtId="0" fontId="16" fillId="6" borderId="43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173" fontId="0" fillId="0" borderId="43" xfId="0" applyNumberFormat="1" applyBorder="1" applyAlignment="1">
      <alignment horizontal="center"/>
    </xf>
    <xf numFmtId="0" fontId="0" fillId="0" borderId="85" xfId="0" applyBorder="1" applyAlignment="1">
      <alignment horizontal="center"/>
    </xf>
    <xf numFmtId="168" fontId="0" fillId="0" borderId="35" xfId="0" applyNumberFormat="1" applyFill="1" applyBorder="1" applyAlignment="1">
      <alignment horizontal="center"/>
    </xf>
    <xf numFmtId="173" fontId="2" fillId="0" borderId="44" xfId="0" applyNumberFormat="1" applyFont="1" applyFill="1" applyBorder="1" applyAlignment="1">
      <alignment horizontal="center"/>
    </xf>
    <xf numFmtId="173" fontId="17" fillId="0" borderId="44" xfId="0" applyNumberFormat="1" applyFont="1" applyFill="1" applyBorder="1" applyAlignment="1">
      <alignment horizontal="center"/>
    </xf>
    <xf numFmtId="167" fontId="0" fillId="0" borderId="43" xfId="0" applyNumberFormat="1" applyBorder="1" applyAlignment="1">
      <alignment horizontal="center" vertical="center"/>
    </xf>
    <xf numFmtId="0" fontId="2" fillId="6" borderId="100" xfId="0" applyFont="1" applyFill="1" applyBorder="1" applyAlignment="1"/>
    <xf numFmtId="0" fontId="16" fillId="6" borderId="100" xfId="0" applyFont="1" applyFill="1" applyBorder="1" applyAlignment="1">
      <alignment horizontal="center"/>
    </xf>
    <xf numFmtId="0" fontId="0" fillId="0" borderId="100" xfId="0" applyBorder="1" applyAlignment="1">
      <alignment horizontal="center"/>
    </xf>
    <xf numFmtId="173" fontId="0" fillId="0" borderId="100" xfId="0" applyNumberFormat="1" applyFill="1" applyBorder="1" applyAlignment="1">
      <alignment horizontal="center"/>
    </xf>
    <xf numFmtId="1" fontId="0" fillId="0" borderId="101" xfId="0" applyNumberFormat="1" applyBorder="1" applyAlignment="1">
      <alignment horizontal="center"/>
    </xf>
    <xf numFmtId="168" fontId="0" fillId="0" borderId="102" xfId="0" applyNumberFormat="1" applyFill="1" applyBorder="1" applyAlignment="1">
      <alignment horizontal="center"/>
    </xf>
    <xf numFmtId="173" fontId="2" fillId="0" borderId="99" xfId="0" applyNumberFormat="1" applyFont="1" applyFill="1" applyBorder="1" applyAlignment="1">
      <alignment horizontal="center"/>
    </xf>
    <xf numFmtId="173" fontId="17" fillId="0" borderId="99" xfId="0" applyNumberFormat="1" applyFont="1" applyFill="1" applyBorder="1" applyAlignment="1">
      <alignment horizontal="center"/>
    </xf>
    <xf numFmtId="168" fontId="0" fillId="0" borderId="100" xfId="0" applyNumberFormat="1" applyBorder="1" applyAlignment="1">
      <alignment horizontal="center" vertical="center"/>
    </xf>
    <xf numFmtId="0" fontId="12" fillId="6" borderId="60" xfId="0" applyFont="1" applyFill="1" applyBorder="1" applyAlignment="1">
      <alignment horizontal="right" vertical="center"/>
    </xf>
    <xf numFmtId="9" fontId="12" fillId="6" borderId="61" xfId="1" applyFont="1" applyFill="1" applyBorder="1" applyAlignment="1">
      <alignment horizontal="center" vertical="center"/>
    </xf>
    <xf numFmtId="168" fontId="12" fillId="6" borderId="61" xfId="0" applyNumberFormat="1" applyFont="1" applyFill="1" applyBorder="1" applyAlignment="1">
      <alignment vertical="center"/>
    </xf>
    <xf numFmtId="9" fontId="12" fillId="6" borderId="13" xfId="1" applyFont="1" applyFill="1" applyBorder="1" applyAlignment="1">
      <alignment horizontal="center" vertical="center"/>
    </xf>
    <xf numFmtId="9" fontId="11" fillId="0" borderId="3" xfId="1" applyFont="1" applyFill="1" applyBorder="1" applyAlignment="1">
      <alignment vertical="center"/>
    </xf>
    <xf numFmtId="9" fontId="12" fillId="6" borderId="16" xfId="1" applyFont="1" applyFill="1" applyBorder="1" applyAlignment="1">
      <alignment vertical="center"/>
    </xf>
    <xf numFmtId="9" fontId="11" fillId="6" borderId="16" xfId="1" applyFont="1" applyFill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9" fontId="11" fillId="0" borderId="3" xfId="1" applyFont="1" applyBorder="1" applyAlignment="1">
      <alignment vertical="center"/>
    </xf>
    <xf numFmtId="9" fontId="12" fillId="6" borderId="104" xfId="1" applyFont="1" applyFill="1" applyBorder="1" applyAlignment="1">
      <alignment vertical="center"/>
    </xf>
    <xf numFmtId="0" fontId="12" fillId="6" borderId="105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 wrapText="1"/>
    </xf>
    <xf numFmtId="0" fontId="12" fillId="6" borderId="106" xfId="0" applyFont="1" applyFill="1" applyBorder="1" applyAlignment="1">
      <alignment horizontal="right" vertical="center"/>
    </xf>
    <xf numFmtId="0" fontId="11" fillId="6" borderId="106" xfId="0" applyFont="1" applyFill="1" applyBorder="1" applyAlignment="1">
      <alignment horizontal="left" vertical="center"/>
    </xf>
    <xf numFmtId="0" fontId="11" fillId="0" borderId="63" xfId="0" applyFont="1" applyBorder="1" applyAlignment="1">
      <alignment horizontal="left" vertical="center" wrapText="1"/>
    </xf>
    <xf numFmtId="0" fontId="12" fillId="6" borderId="107" xfId="0" applyFont="1" applyFill="1" applyBorder="1" applyAlignment="1">
      <alignment horizontal="right" vertical="center"/>
    </xf>
    <xf numFmtId="0" fontId="12" fillId="6" borderId="31" xfId="0" applyFont="1" applyFill="1" applyBorder="1" applyAlignment="1">
      <alignment horizontal="center" vertical="center"/>
    </xf>
    <xf numFmtId="168" fontId="11" fillId="0" borderId="32" xfId="0" applyNumberFormat="1" applyFont="1" applyFill="1" applyBorder="1" applyAlignment="1">
      <alignment vertical="center"/>
    </xf>
    <xf numFmtId="168" fontId="12" fillId="6" borderId="33" xfId="0" applyNumberFormat="1" applyFont="1" applyFill="1" applyBorder="1" applyAlignment="1">
      <alignment vertical="center"/>
    </xf>
    <xf numFmtId="168" fontId="11" fillId="6" borderId="33" xfId="0" applyNumberFormat="1" applyFont="1" applyFill="1" applyBorder="1" applyAlignment="1">
      <alignment vertical="center"/>
    </xf>
    <xf numFmtId="167" fontId="12" fillId="6" borderId="31" xfId="0" applyNumberFormat="1" applyFont="1" applyFill="1" applyBorder="1" applyAlignment="1">
      <alignment horizontal="center" vertical="center"/>
    </xf>
    <xf numFmtId="168" fontId="11" fillId="0" borderId="32" xfId="0" applyNumberFormat="1" applyFont="1" applyBorder="1" applyAlignment="1">
      <alignment vertical="center"/>
    </xf>
    <xf numFmtId="9" fontId="12" fillId="6" borderId="109" xfId="1" applyFont="1" applyFill="1" applyBorder="1" applyAlignment="1">
      <alignment horizontal="center" vertical="center"/>
    </xf>
    <xf numFmtId="9" fontId="12" fillId="6" borderId="35" xfId="1" applyFont="1" applyFill="1" applyBorder="1" applyAlignment="1">
      <alignment horizontal="center" vertical="center"/>
    </xf>
    <xf numFmtId="9" fontId="11" fillId="0" borderId="43" xfId="1" applyFont="1" applyFill="1" applyBorder="1" applyAlignment="1">
      <alignment vertical="center"/>
    </xf>
    <xf numFmtId="9" fontId="12" fillId="6" borderId="44" xfId="1" applyFont="1" applyFill="1" applyBorder="1" applyAlignment="1">
      <alignment vertical="center"/>
    </xf>
    <xf numFmtId="9" fontId="11" fillId="6" borderId="44" xfId="1" applyFont="1" applyFill="1" applyBorder="1" applyAlignment="1">
      <alignment vertical="center"/>
    </xf>
    <xf numFmtId="9" fontId="12" fillId="6" borderId="110" xfId="1" applyFont="1" applyFill="1" applyBorder="1" applyAlignment="1">
      <alignment vertical="center"/>
    </xf>
    <xf numFmtId="168" fontId="18" fillId="0" borderId="2" xfId="0" applyNumberFormat="1" applyFont="1" applyBorder="1"/>
    <xf numFmtId="168" fontId="26" fillId="6" borderId="2" xfId="0" applyNumberFormat="1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6" borderId="20" xfId="0" applyFont="1" applyFill="1" applyBorder="1" applyAlignment="1">
      <alignment horizontal="center" vertical="center" wrapText="1"/>
    </xf>
    <xf numFmtId="9" fontId="14" fillId="6" borderId="15" xfId="1" applyFont="1" applyFill="1" applyBorder="1" applyAlignment="1">
      <alignment horizontal="center" vertical="center"/>
    </xf>
    <xf numFmtId="0" fontId="26" fillId="6" borderId="21" xfId="0" applyFont="1" applyFill="1" applyBorder="1" applyAlignment="1">
      <alignment horizontal="center" vertical="center"/>
    </xf>
    <xf numFmtId="168" fontId="11" fillId="2" borderId="18" xfId="0" applyNumberFormat="1" applyFont="1" applyFill="1" applyBorder="1" applyAlignment="1">
      <alignment horizontal="right" vertical="center"/>
    </xf>
    <xf numFmtId="0" fontId="11" fillId="0" borderId="22" xfId="0" applyFont="1" applyFill="1" applyBorder="1" applyAlignment="1">
      <alignment horizontal="left" vertical="center" wrapText="1"/>
    </xf>
    <xf numFmtId="0" fontId="11" fillId="2" borderId="49" xfId="0" applyFont="1" applyFill="1" applyBorder="1" applyAlignment="1">
      <alignment horizontal="left" vertical="center" wrapText="1"/>
    </xf>
    <xf numFmtId="0" fontId="11" fillId="2" borderId="47" xfId="0" applyFont="1" applyFill="1" applyBorder="1" applyAlignment="1">
      <alignment horizontal="left" vertical="center" wrapText="1"/>
    </xf>
    <xf numFmtId="0" fontId="11" fillId="2" borderId="48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horizontal="center" vertical="center"/>
    </xf>
    <xf numFmtId="0" fontId="11" fillId="2" borderId="5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 wrapText="1"/>
    </xf>
    <xf numFmtId="168" fontId="11" fillId="2" borderId="61" xfId="0" applyNumberFormat="1" applyFont="1" applyFill="1" applyBorder="1" applyAlignment="1">
      <alignment vertical="center"/>
    </xf>
    <xf numFmtId="0" fontId="11" fillId="2" borderId="61" xfId="0" applyFont="1" applyFill="1" applyBorder="1" applyAlignment="1">
      <alignment horizontal="center" vertical="center"/>
    </xf>
    <xf numFmtId="0" fontId="11" fillId="2" borderId="62" xfId="0" applyFont="1" applyFill="1" applyBorder="1" applyAlignment="1">
      <alignment horizontal="center" vertical="center"/>
    </xf>
    <xf numFmtId="183" fontId="12" fillId="6" borderId="61" xfId="0" applyNumberFormat="1" applyFont="1" applyFill="1" applyBorder="1" applyAlignment="1">
      <alignment horizontal="center" vertical="center"/>
    </xf>
    <xf numFmtId="190" fontId="12" fillId="6" borderId="61" xfId="0" applyNumberFormat="1" applyFont="1" applyFill="1" applyBorder="1" applyAlignment="1">
      <alignment horizontal="center" vertical="center"/>
    </xf>
    <xf numFmtId="187" fontId="12" fillId="6" borderId="62" xfId="0" applyNumberFormat="1" applyFont="1" applyFill="1" applyBorder="1" applyAlignment="1">
      <alignment horizontal="center" vertical="center"/>
    </xf>
    <xf numFmtId="9" fontId="12" fillId="2" borderId="18" xfId="1" applyFont="1" applyFill="1" applyBorder="1" applyAlignment="1">
      <alignment horizontal="center" vertical="center"/>
    </xf>
    <xf numFmtId="9" fontId="12" fillId="0" borderId="61" xfId="1" applyFont="1" applyFill="1" applyBorder="1" applyAlignment="1">
      <alignment horizontal="center" vertical="center"/>
    </xf>
    <xf numFmtId="9" fontId="12" fillId="2" borderId="61" xfId="1" applyFont="1" applyFill="1" applyBorder="1" applyAlignment="1">
      <alignment horizontal="center" vertical="center"/>
    </xf>
    <xf numFmtId="0" fontId="18" fillId="0" borderId="20" xfId="0" applyFont="1" applyBorder="1"/>
    <xf numFmtId="0" fontId="19" fillId="0" borderId="2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168" fontId="18" fillId="0" borderId="2" xfId="0" applyNumberFormat="1" applyFont="1" applyBorder="1" applyAlignment="1">
      <alignment horizontal="right"/>
    </xf>
    <xf numFmtId="167" fontId="18" fillId="0" borderId="2" xfId="0" applyNumberFormat="1" applyFont="1" applyBorder="1"/>
    <xf numFmtId="168" fontId="19" fillId="6" borderId="2" xfId="0" applyNumberFormat="1" applyFont="1" applyFill="1" applyBorder="1"/>
    <xf numFmtId="0" fontId="19" fillId="6" borderId="20" xfId="0" applyFont="1" applyFill="1" applyBorder="1"/>
    <xf numFmtId="0" fontId="19" fillId="6" borderId="25" xfId="0" applyFont="1" applyFill="1" applyBorder="1"/>
    <xf numFmtId="0" fontId="14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right" vertical="center"/>
    </xf>
    <xf numFmtId="168" fontId="22" fillId="0" borderId="2" xfId="0" applyNumberFormat="1" applyFont="1" applyBorder="1" applyAlignment="1">
      <alignment vertical="center"/>
    </xf>
    <xf numFmtId="9" fontId="22" fillId="0" borderId="2" xfId="1" applyFont="1" applyBorder="1" applyAlignment="1">
      <alignment horizontal="center" vertical="center"/>
    </xf>
    <xf numFmtId="9" fontId="22" fillId="0" borderId="20" xfId="1" applyFont="1" applyBorder="1" applyAlignment="1">
      <alignment horizontal="center" vertical="center"/>
    </xf>
    <xf numFmtId="168" fontId="22" fillId="0" borderId="2" xfId="0" applyNumberFormat="1" applyFont="1" applyFill="1" applyBorder="1" applyAlignment="1">
      <alignment vertical="center"/>
    </xf>
    <xf numFmtId="168" fontId="14" fillId="0" borderId="2" xfId="0" applyNumberFormat="1" applyFont="1" applyBorder="1" applyAlignment="1">
      <alignment vertical="center"/>
    </xf>
    <xf numFmtId="0" fontId="14" fillId="6" borderId="24" xfId="0" applyFont="1" applyFill="1" applyBorder="1" applyAlignment="1">
      <alignment horizontal="right" vertical="center"/>
    </xf>
    <xf numFmtId="168" fontId="14" fillId="6" borderId="15" xfId="0" applyNumberFormat="1" applyFont="1" applyFill="1" applyBorder="1" applyAlignment="1">
      <alignment vertical="center"/>
    </xf>
    <xf numFmtId="9" fontId="14" fillId="6" borderId="25" xfId="1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9" fontId="12" fillId="6" borderId="15" xfId="0" applyNumberFormat="1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vertical="center"/>
    </xf>
    <xf numFmtId="168" fontId="12" fillId="6" borderId="15" xfId="0" applyNumberFormat="1" applyFont="1" applyFill="1" applyBorder="1" applyAlignment="1">
      <alignment horizontal="right" vertical="center"/>
    </xf>
    <xf numFmtId="168" fontId="12" fillId="6" borderId="25" xfId="0" applyNumberFormat="1" applyFont="1" applyFill="1" applyBorder="1" applyAlignment="1">
      <alignment horizontal="right" vertical="center"/>
    </xf>
    <xf numFmtId="9" fontId="12" fillId="0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3" fontId="12" fillId="0" borderId="20" xfId="0" applyNumberFormat="1" applyFont="1" applyBorder="1" applyAlignment="1">
      <alignment horizontal="center"/>
    </xf>
    <xf numFmtId="168" fontId="11" fillId="0" borderId="20" xfId="0" applyNumberFormat="1" applyFont="1" applyBorder="1" applyAlignment="1">
      <alignment horizontal="right"/>
    </xf>
    <xf numFmtId="0" fontId="12" fillId="0" borderId="21" xfId="0" applyFont="1" applyBorder="1"/>
    <xf numFmtId="168" fontId="12" fillId="0" borderId="20" xfId="0" applyNumberFormat="1" applyFont="1" applyFill="1" applyBorder="1"/>
    <xf numFmtId="177" fontId="11" fillId="0" borderId="20" xfId="0" applyNumberFormat="1" applyFont="1" applyBorder="1" applyAlignment="1">
      <alignment horizontal="center"/>
    </xf>
    <xf numFmtId="2" fontId="12" fillId="0" borderId="20" xfId="0" applyNumberFormat="1" applyFont="1" applyBorder="1" applyAlignment="1">
      <alignment horizontal="center"/>
    </xf>
    <xf numFmtId="175" fontId="11" fillId="0" borderId="20" xfId="0" applyNumberFormat="1" applyFont="1" applyBorder="1" applyAlignment="1">
      <alignment horizontal="center"/>
    </xf>
    <xf numFmtId="176" fontId="11" fillId="0" borderId="20" xfId="0" applyNumberFormat="1" applyFont="1" applyBorder="1" applyAlignment="1">
      <alignment horizontal="center"/>
    </xf>
    <xf numFmtId="0" fontId="12" fillId="6" borderId="24" xfId="0" applyFont="1" applyFill="1" applyBorder="1"/>
    <xf numFmtId="0" fontId="11" fillId="6" borderId="21" xfId="0" applyFont="1" applyFill="1" applyBorder="1"/>
    <xf numFmtId="168" fontId="11" fillId="6" borderId="20" xfId="0" applyNumberFormat="1" applyFont="1" applyFill="1" applyBorder="1"/>
    <xf numFmtId="175" fontId="11" fillId="6" borderId="20" xfId="0" applyNumberFormat="1" applyFont="1" applyFill="1" applyBorder="1"/>
    <xf numFmtId="0" fontId="12" fillId="6" borderId="21" xfId="0" applyFont="1" applyFill="1" applyBorder="1"/>
    <xf numFmtId="9" fontId="12" fillId="2" borderId="22" xfId="1" applyFont="1" applyFill="1" applyBorder="1" applyAlignment="1">
      <alignment vertical="center"/>
    </xf>
    <xf numFmtId="0" fontId="11" fillId="2" borderId="12" xfId="0" applyFont="1" applyFill="1" applyBorder="1" applyAlignment="1">
      <alignment horizontal="left" vertical="center" wrapText="1"/>
    </xf>
    <xf numFmtId="168" fontId="11" fillId="2" borderId="12" xfId="0" applyNumberFormat="1" applyFont="1" applyFill="1" applyBorder="1" applyAlignment="1">
      <alignment vertical="center"/>
    </xf>
    <xf numFmtId="175" fontId="11" fillId="2" borderId="23" xfId="0" applyNumberFormat="1" applyFont="1" applyFill="1" applyBorder="1" applyAlignment="1">
      <alignment horizontal="center" vertical="center"/>
    </xf>
    <xf numFmtId="9" fontId="12" fillId="2" borderId="21" xfId="1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 wrapText="1"/>
    </xf>
    <xf numFmtId="168" fontId="11" fillId="2" borderId="2" xfId="0" applyNumberFormat="1" applyFont="1" applyFill="1" applyBorder="1" applyAlignment="1">
      <alignment vertical="center"/>
    </xf>
    <xf numFmtId="175" fontId="11" fillId="2" borderId="20" xfId="0" applyNumberFormat="1" applyFont="1" applyFill="1" applyBorder="1" applyAlignment="1">
      <alignment horizontal="center" vertical="center"/>
    </xf>
    <xf numFmtId="9" fontId="12" fillId="2" borderId="24" xfId="1" applyFont="1" applyFill="1" applyBorder="1" applyAlignment="1">
      <alignment vertical="center"/>
    </xf>
    <xf numFmtId="0" fontId="11" fillId="2" borderId="15" xfId="0" applyFont="1" applyFill="1" applyBorder="1" applyAlignment="1">
      <alignment horizontal="left" vertical="center" wrapText="1"/>
    </xf>
    <xf numFmtId="168" fontId="11" fillId="2" borderId="15" xfId="0" applyNumberFormat="1" applyFont="1" applyFill="1" applyBorder="1" applyAlignment="1">
      <alignment vertical="center"/>
    </xf>
    <xf numFmtId="175" fontId="11" fillId="2" borderId="25" xfId="0" applyNumberFormat="1" applyFont="1" applyFill="1" applyBorder="1" applyAlignment="1">
      <alignment horizontal="center" vertical="center"/>
    </xf>
    <xf numFmtId="168" fontId="26" fillId="0" borderId="23" xfId="0" applyNumberFormat="1" applyFont="1" applyFill="1" applyBorder="1" applyAlignment="1">
      <alignment horizontal="right" vertical="center"/>
    </xf>
    <xf numFmtId="168" fontId="43" fillId="7" borderId="25" xfId="0" applyNumberFormat="1" applyFont="1" applyFill="1" applyBorder="1" applyAlignment="1">
      <alignment vertical="center"/>
    </xf>
    <xf numFmtId="168" fontId="26" fillId="0" borderId="20" xfId="0" applyNumberFormat="1" applyFont="1" applyFill="1" applyBorder="1" applyAlignment="1">
      <alignment horizontal="right" vertical="center" wrapText="1"/>
    </xf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2" fillId="6" borderId="53" xfId="0" applyFont="1" applyFill="1" applyBorder="1" applyAlignment="1">
      <alignment horizontal="center" vertical="center" wrapText="1"/>
    </xf>
    <xf numFmtId="0" fontId="12" fillId="6" borderId="45" xfId="0" applyFont="1" applyFill="1" applyBorder="1" applyAlignment="1">
      <alignment horizontal="center" vertical="center"/>
    </xf>
    <xf numFmtId="0" fontId="12" fillId="6" borderId="64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92" fontId="0" fillId="0" borderId="0" xfId="0" applyNumberFormat="1"/>
    <xf numFmtId="167" fontId="0" fillId="0" borderId="0" xfId="0" applyNumberFormat="1" applyBorder="1"/>
    <xf numFmtId="191" fontId="0" fillId="0" borderId="0" xfId="0" applyNumberFormat="1" applyBorder="1"/>
    <xf numFmtId="168" fontId="18" fillId="0" borderId="1" xfId="0" applyNumberFormat="1" applyFont="1" applyBorder="1" applyAlignment="1">
      <alignment vertical="center"/>
    </xf>
    <xf numFmtId="9" fontId="19" fillId="0" borderId="3" xfId="1" applyFont="1" applyBorder="1" applyAlignment="1">
      <alignment horizontal="center" vertical="center"/>
    </xf>
    <xf numFmtId="168" fontId="18" fillId="0" borderId="32" xfId="0" applyNumberFormat="1" applyFont="1" applyBorder="1" applyAlignment="1">
      <alignment vertical="center"/>
    </xf>
    <xf numFmtId="168" fontId="18" fillId="0" borderId="4" xfId="0" applyNumberFormat="1" applyFont="1" applyBorder="1" applyAlignment="1">
      <alignment vertical="center"/>
    </xf>
    <xf numFmtId="9" fontId="19" fillId="0" borderId="6" xfId="1" applyFont="1" applyBorder="1" applyAlignment="1">
      <alignment horizontal="center" vertical="center"/>
    </xf>
    <xf numFmtId="168" fontId="18" fillId="0" borderId="115" xfId="0" applyNumberFormat="1" applyFont="1" applyBorder="1" applyAlignment="1">
      <alignment vertical="center"/>
    </xf>
    <xf numFmtId="169" fontId="12" fillId="6" borderId="45" xfId="0" applyNumberFormat="1" applyFont="1" applyFill="1" applyBorder="1" applyAlignment="1">
      <alignment vertical="center"/>
    </xf>
    <xf numFmtId="169" fontId="12" fillId="2" borderId="34" xfId="3" applyNumberFormat="1" applyFont="1" applyFill="1" applyBorder="1" applyAlignment="1">
      <alignment vertical="center"/>
    </xf>
    <xf numFmtId="169" fontId="11" fillId="0" borderId="45" xfId="3" applyNumberFormat="1" applyFont="1" applyFill="1" applyBorder="1" applyAlignment="1">
      <alignment vertical="center"/>
    </xf>
    <xf numFmtId="169" fontId="11" fillId="0" borderId="118" xfId="3" applyNumberFormat="1" applyFont="1" applyFill="1" applyBorder="1" applyAlignment="1">
      <alignment vertical="center"/>
    </xf>
    <xf numFmtId="169" fontId="12" fillId="2" borderId="119" xfId="3" applyNumberFormat="1" applyFont="1" applyFill="1" applyBorder="1" applyAlignment="1">
      <alignment vertical="center"/>
    </xf>
    <xf numFmtId="169" fontId="11" fillId="0" borderId="67" xfId="3" applyNumberFormat="1" applyFont="1" applyFill="1" applyBorder="1" applyAlignment="1">
      <alignment vertical="center"/>
    </xf>
    <xf numFmtId="169" fontId="12" fillId="6" borderId="29" xfId="0" applyNumberFormat="1" applyFont="1" applyFill="1" applyBorder="1" applyAlignment="1">
      <alignment vertical="center"/>
    </xf>
    <xf numFmtId="0" fontId="12" fillId="6" borderId="1" xfId="0" applyFont="1" applyFill="1" applyBorder="1" applyAlignment="1">
      <alignment horizontal="center" vertical="center" shrinkToFit="1"/>
    </xf>
    <xf numFmtId="169" fontId="12" fillId="6" borderId="1" xfId="0" applyNumberFormat="1" applyFont="1" applyFill="1" applyBorder="1" applyAlignment="1">
      <alignment vertical="center"/>
    </xf>
    <xf numFmtId="169" fontId="12" fillId="2" borderId="11" xfId="0" applyNumberFormat="1" applyFont="1" applyFill="1" applyBorder="1" applyAlignment="1">
      <alignment vertical="center"/>
    </xf>
    <xf numFmtId="169" fontId="11" fillId="0" borderId="1" xfId="0" applyNumberFormat="1" applyFont="1" applyFill="1" applyBorder="1" applyAlignment="1">
      <alignment vertical="center"/>
    </xf>
    <xf numFmtId="169" fontId="11" fillId="0" borderId="14" xfId="0" applyNumberFormat="1" applyFont="1" applyFill="1" applyBorder="1" applyAlignment="1">
      <alignment vertical="center"/>
    </xf>
    <xf numFmtId="169" fontId="12" fillId="2" borderId="79" xfId="0" applyNumberFormat="1" applyFont="1" applyFill="1" applyBorder="1" applyAlignment="1">
      <alignment vertical="center"/>
    </xf>
    <xf numFmtId="169" fontId="11" fillId="0" borderId="77" xfId="0" applyNumberFormat="1" applyFont="1" applyFill="1" applyBorder="1" applyAlignment="1">
      <alignment vertical="center"/>
    </xf>
    <xf numFmtId="0" fontId="12" fillId="6" borderId="29" xfId="0" applyFont="1" applyFill="1" applyBorder="1" applyAlignment="1">
      <alignment horizontal="center" vertical="center"/>
    </xf>
    <xf numFmtId="169" fontId="12" fillId="2" borderId="120" xfId="3" applyNumberFormat="1" applyFont="1" applyFill="1" applyBorder="1" applyAlignment="1">
      <alignment vertical="center"/>
    </xf>
    <xf numFmtId="169" fontId="11" fillId="0" borderId="29" xfId="3" applyNumberFormat="1" applyFont="1" applyFill="1" applyBorder="1" applyAlignment="1">
      <alignment vertical="center"/>
    </xf>
    <xf numFmtId="169" fontId="11" fillId="0" borderId="30" xfId="3" applyNumberFormat="1" applyFont="1" applyFill="1" applyBorder="1" applyAlignment="1">
      <alignment vertical="center"/>
    </xf>
    <xf numFmtId="169" fontId="12" fillId="2" borderId="121" xfId="3" applyNumberFormat="1" applyFont="1" applyFill="1" applyBorder="1" applyAlignment="1">
      <alignment vertical="center"/>
    </xf>
    <xf numFmtId="169" fontId="11" fillId="0" borderId="122" xfId="3" applyNumberFormat="1" applyFont="1" applyFill="1" applyBorder="1" applyAlignment="1">
      <alignment vertical="center"/>
    </xf>
    <xf numFmtId="9" fontId="52" fillId="6" borderId="30" xfId="1" applyNumberFormat="1" applyFont="1" applyFill="1" applyBorder="1" applyAlignment="1">
      <alignment horizontal="center"/>
    </xf>
    <xf numFmtId="9" fontId="52" fillId="6" borderId="118" xfId="1" applyNumberFormat="1" applyFont="1" applyFill="1" applyBorder="1" applyAlignment="1">
      <alignment horizontal="center"/>
    </xf>
    <xf numFmtId="9" fontId="52" fillId="6" borderId="14" xfId="1" applyFont="1" applyFill="1" applyBorder="1" applyAlignment="1">
      <alignment horizontal="center"/>
    </xf>
    <xf numFmtId="0" fontId="12" fillId="2" borderId="105" xfId="0" applyFont="1" applyFill="1" applyBorder="1" applyAlignment="1">
      <alignment horizontal="left" vertical="center"/>
    </xf>
    <xf numFmtId="9" fontId="12" fillId="2" borderId="127" xfId="1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vertical="center"/>
    </xf>
    <xf numFmtId="9" fontId="11" fillId="0" borderId="64" xfId="1" applyFont="1" applyFill="1" applyBorder="1" applyAlignment="1">
      <alignment horizontal="center" vertical="center"/>
    </xf>
    <xf numFmtId="0" fontId="11" fillId="0" borderId="106" xfId="0" applyFont="1" applyFill="1" applyBorder="1" applyAlignment="1">
      <alignment vertical="center"/>
    </xf>
    <xf numFmtId="9" fontId="11" fillId="0" borderId="124" xfId="1" applyFont="1" applyFill="1" applyBorder="1" applyAlignment="1">
      <alignment horizontal="center" vertical="center"/>
    </xf>
    <xf numFmtId="0" fontId="12" fillId="2" borderId="128" xfId="0" applyFont="1" applyFill="1" applyBorder="1" applyAlignment="1">
      <alignment horizontal="left" vertical="center"/>
    </xf>
    <xf numFmtId="9" fontId="12" fillId="2" borderId="129" xfId="1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vertical="center" wrapText="1"/>
    </xf>
    <xf numFmtId="0" fontId="11" fillId="0" borderId="92" xfId="0" applyFont="1" applyFill="1" applyBorder="1" applyAlignment="1">
      <alignment vertical="center" wrapText="1"/>
    </xf>
    <xf numFmtId="9" fontId="11" fillId="0" borderId="95" xfId="1" applyFont="1" applyFill="1" applyBorder="1" applyAlignment="1">
      <alignment horizontal="center" vertical="center"/>
    </xf>
    <xf numFmtId="0" fontId="11" fillId="0" borderId="113" xfId="0" applyFont="1" applyFill="1" applyBorder="1" applyAlignment="1">
      <alignment horizontal="left" vertical="center" wrapText="1"/>
    </xf>
    <xf numFmtId="169" fontId="11" fillId="0" borderId="130" xfId="3" applyNumberFormat="1" applyFont="1" applyFill="1" applyBorder="1" applyAlignment="1">
      <alignment horizontal="center" vertical="center"/>
    </xf>
    <xf numFmtId="169" fontId="11" fillId="0" borderId="114" xfId="3" applyNumberFormat="1" applyFont="1" applyFill="1" applyBorder="1" applyAlignment="1">
      <alignment horizontal="center" vertical="center"/>
    </xf>
    <xf numFmtId="169" fontId="11" fillId="0" borderId="4" xfId="0" applyNumberFormat="1" applyFont="1" applyFill="1" applyBorder="1" applyAlignment="1">
      <alignment horizontal="center" vertical="center"/>
    </xf>
    <xf numFmtId="9" fontId="11" fillId="0" borderId="131" xfId="1" applyFont="1" applyFill="1" applyBorder="1" applyAlignment="1">
      <alignment horizontal="center" vertical="center"/>
    </xf>
    <xf numFmtId="0" fontId="12" fillId="2" borderId="79" xfId="0" applyFont="1" applyFill="1" applyBorder="1" applyAlignment="1">
      <alignment horizontal="right" vertical="center" wrapText="1"/>
    </xf>
    <xf numFmtId="0" fontId="11" fillId="0" borderId="79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/>
    </xf>
    <xf numFmtId="169" fontId="11" fillId="0" borderId="5" xfId="0" applyNumberFormat="1" applyFont="1" applyFill="1" applyBorder="1" applyAlignment="1">
      <alignment vertical="center"/>
    </xf>
    <xf numFmtId="169" fontId="12" fillId="6" borderId="44" xfId="3" applyNumberFormat="1" applyFont="1" applyFill="1" applyBorder="1" applyAlignment="1">
      <alignment vertical="center"/>
    </xf>
    <xf numFmtId="169" fontId="12" fillId="2" borderId="35" xfId="3" applyNumberFormat="1" applyFont="1" applyFill="1" applyBorder="1" applyAlignment="1">
      <alignment vertical="center"/>
    </xf>
    <xf numFmtId="169" fontId="11" fillId="0" borderId="43" xfId="3" applyNumberFormat="1" applyFont="1" applyFill="1" applyBorder="1" applyAlignment="1">
      <alignment vertical="center"/>
    </xf>
    <xf numFmtId="169" fontId="11" fillId="0" borderId="44" xfId="3" applyNumberFormat="1" applyFont="1" applyFill="1" applyBorder="1" applyAlignment="1">
      <alignment vertical="center"/>
    </xf>
    <xf numFmtId="169" fontId="12" fillId="2" borderId="86" xfId="3" applyNumberFormat="1" applyFont="1" applyFill="1" applyBorder="1" applyAlignment="1">
      <alignment vertical="center"/>
    </xf>
    <xf numFmtId="169" fontId="11" fillId="0" borderId="85" xfId="3" applyNumberFormat="1" applyFont="1" applyFill="1" applyBorder="1" applyAlignment="1">
      <alignment vertical="center"/>
    </xf>
    <xf numFmtId="169" fontId="11" fillId="0" borderId="94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9" fontId="2" fillId="2" borderId="13" xfId="1" applyFont="1" applyFill="1" applyBorder="1" applyAlignment="1">
      <alignment horizontal="center" vertical="center"/>
    </xf>
    <xf numFmtId="9" fontId="2" fillId="6" borderId="16" xfId="1" applyFont="1" applyFill="1" applyBorder="1" applyAlignment="1">
      <alignment horizontal="center" vertical="center"/>
    </xf>
    <xf numFmtId="0" fontId="12" fillId="6" borderId="86" xfId="0" applyFont="1" applyFill="1" applyBorder="1" applyAlignment="1">
      <alignment horizontal="center" vertical="center"/>
    </xf>
    <xf numFmtId="0" fontId="2" fillId="6" borderId="80" xfId="0" applyFont="1" applyFill="1" applyBorder="1" applyAlignment="1">
      <alignment horizontal="center" vertical="center"/>
    </xf>
    <xf numFmtId="0" fontId="26" fillId="6" borderId="79" xfId="0" applyFont="1" applyFill="1" applyBorder="1" applyAlignment="1">
      <alignment horizontal="center"/>
    </xf>
    <xf numFmtId="0" fontId="26" fillId="6" borderId="86" xfId="0" applyFont="1" applyFill="1" applyBorder="1" applyAlignment="1">
      <alignment horizontal="center"/>
    </xf>
    <xf numFmtId="0" fontId="11" fillId="0" borderId="43" xfId="0" applyFont="1" applyBorder="1" applyAlignment="1">
      <alignment horizontal="left"/>
    </xf>
    <xf numFmtId="0" fontId="11" fillId="0" borderId="43" xfId="0" applyFont="1" applyFill="1" applyBorder="1" applyAlignment="1">
      <alignment horizontal="left"/>
    </xf>
    <xf numFmtId="0" fontId="12" fillId="6" borderId="64" xfId="0" applyFont="1" applyFill="1" applyBorder="1" applyAlignment="1">
      <alignment horizontal="center"/>
    </xf>
    <xf numFmtId="169" fontId="11" fillId="0" borderId="64" xfId="0" applyNumberFormat="1" applyFont="1" applyBorder="1"/>
    <xf numFmtId="169" fontId="12" fillId="6" borderId="64" xfId="0" applyNumberFormat="1" applyFont="1" applyFill="1" applyBorder="1"/>
    <xf numFmtId="9" fontId="12" fillId="6" borderId="131" xfId="1" applyFont="1" applyFill="1" applyBorder="1" applyAlignment="1">
      <alignment horizontal="center"/>
    </xf>
    <xf numFmtId="0" fontId="12" fillId="6" borderId="29" xfId="0" applyFont="1" applyFill="1" applyBorder="1" applyAlignment="1">
      <alignment horizontal="center"/>
    </xf>
    <xf numFmtId="169" fontId="11" fillId="0" borderId="29" xfId="3" applyNumberFormat="1" applyFont="1" applyBorder="1"/>
    <xf numFmtId="169" fontId="12" fillId="6" borderId="29" xfId="3" applyNumberFormat="1" applyFont="1" applyFill="1" applyBorder="1"/>
    <xf numFmtId="9" fontId="12" fillId="6" borderId="130" xfId="1" applyFont="1" applyFill="1" applyBorder="1" applyAlignment="1">
      <alignment horizontal="center"/>
    </xf>
    <xf numFmtId="169" fontId="11" fillId="0" borderId="29" xfId="0" applyNumberFormat="1" applyFont="1" applyBorder="1"/>
    <xf numFmtId="169" fontId="12" fillId="6" borderId="29" xfId="0" applyNumberFormat="1" applyFont="1" applyFill="1" applyBorder="1"/>
    <xf numFmtId="0" fontId="12" fillId="6" borderId="94" xfId="0" applyFont="1" applyFill="1" applyBorder="1" applyAlignment="1">
      <alignment horizontal="right"/>
    </xf>
    <xf numFmtId="9" fontId="12" fillId="0" borderId="1" xfId="1" applyNumberFormat="1" applyFont="1" applyBorder="1" applyAlignment="1">
      <alignment horizontal="center" vertical="center"/>
    </xf>
    <xf numFmtId="0" fontId="14" fillId="6" borderId="96" xfId="0" applyFont="1" applyFill="1" applyBorder="1" applyAlignment="1">
      <alignment horizontal="center"/>
    </xf>
    <xf numFmtId="0" fontId="53" fillId="6" borderId="95" xfId="0" applyFont="1" applyFill="1" applyBorder="1" applyAlignment="1">
      <alignment horizontal="center"/>
    </xf>
    <xf numFmtId="169" fontId="46" fillId="0" borderId="127" xfId="3" applyNumberFormat="1" applyFont="1" applyFill="1" applyBorder="1"/>
    <xf numFmtId="9" fontId="46" fillId="0" borderId="124" xfId="1" applyFont="1" applyFill="1" applyBorder="1" applyAlignment="1">
      <alignment horizontal="center"/>
    </xf>
    <xf numFmtId="169" fontId="11" fillId="0" borderId="129" xfId="0" applyNumberFormat="1" applyFont="1" applyFill="1" applyBorder="1"/>
    <xf numFmtId="9" fontId="11" fillId="0" borderId="95" xfId="1" applyFont="1" applyFill="1" applyBorder="1" applyAlignment="1">
      <alignment horizontal="center"/>
    </xf>
    <xf numFmtId="169" fontId="11" fillId="0" borderId="127" xfId="0" applyNumberFormat="1" applyFont="1" applyFill="1" applyBorder="1"/>
    <xf numFmtId="9" fontId="11" fillId="0" borderId="124" xfId="1" applyFont="1" applyFill="1" applyBorder="1" applyAlignment="1">
      <alignment horizontal="center"/>
    </xf>
    <xf numFmtId="0" fontId="53" fillId="6" borderId="122" xfId="0" applyFont="1" applyFill="1" applyBorder="1" applyAlignment="1">
      <alignment horizontal="center"/>
    </xf>
    <xf numFmtId="169" fontId="46" fillId="0" borderId="120" xfId="3" applyNumberFormat="1" applyFont="1" applyFill="1" applyBorder="1"/>
    <xf numFmtId="9" fontId="46" fillId="0" borderId="30" xfId="1" applyFont="1" applyFill="1" applyBorder="1" applyAlignment="1">
      <alignment horizontal="center"/>
    </xf>
    <xf numFmtId="169" fontId="11" fillId="0" borderId="121" xfId="0" applyNumberFormat="1" applyFont="1" applyFill="1" applyBorder="1"/>
    <xf numFmtId="9" fontId="11" fillId="0" borderId="122" xfId="1" applyFont="1" applyFill="1" applyBorder="1" applyAlignment="1">
      <alignment horizontal="center"/>
    </xf>
    <xf numFmtId="169" fontId="11" fillId="0" borderId="120" xfId="0" applyNumberFormat="1" applyFont="1" applyFill="1" applyBorder="1"/>
    <xf numFmtId="9" fontId="11" fillId="0" borderId="30" xfId="1" applyFont="1" applyFill="1" applyBorder="1" applyAlignment="1">
      <alignment horizontal="center"/>
    </xf>
    <xf numFmtId="169" fontId="14" fillId="6" borderId="35" xfId="3" applyNumberFormat="1" applyFont="1" applyFill="1" applyBorder="1"/>
    <xf numFmtId="169" fontId="11" fillId="0" borderId="30" xfId="3" applyNumberFormat="1" applyFont="1" applyBorder="1" applyAlignment="1"/>
    <xf numFmtId="169" fontId="11" fillId="0" borderId="124" xfId="3" applyNumberFormat="1" applyFont="1" applyBorder="1" applyAlignment="1"/>
    <xf numFmtId="0" fontId="12" fillId="6" borderId="35" xfId="0" applyFont="1" applyFill="1" applyBorder="1" applyAlignment="1">
      <alignment horizontal="right"/>
    </xf>
    <xf numFmtId="169" fontId="12" fillId="6" borderId="120" xfId="3" applyNumberFormat="1" applyFont="1" applyFill="1" applyBorder="1"/>
    <xf numFmtId="169" fontId="12" fillId="6" borderId="120" xfId="0" applyNumberFormat="1" applyFont="1" applyFill="1" applyBorder="1"/>
    <xf numFmtId="169" fontId="12" fillId="6" borderId="127" xfId="0" applyNumberFormat="1" applyFont="1" applyFill="1" applyBorder="1"/>
    <xf numFmtId="9" fontId="14" fillId="6" borderId="90" xfId="1" applyFont="1" applyFill="1" applyBorder="1" applyAlignment="1">
      <alignment horizontal="center" vertical="center"/>
    </xf>
    <xf numFmtId="169" fontId="14" fillId="6" borderId="86" xfId="0" applyNumberFormat="1" applyFont="1" applyFill="1" applyBorder="1"/>
    <xf numFmtId="9" fontId="14" fillId="6" borderId="89" xfId="1" applyFont="1" applyFill="1" applyBorder="1" applyAlignment="1">
      <alignment horizontal="center" vertical="center"/>
    </xf>
    <xf numFmtId="169" fontId="14" fillId="6" borderId="86" xfId="3" applyNumberFormat="1" applyFont="1" applyFill="1" applyBorder="1"/>
    <xf numFmtId="0" fontId="18" fillId="0" borderId="43" xfId="0" applyFont="1" applyBorder="1" applyAlignment="1"/>
    <xf numFmtId="0" fontId="18" fillId="0" borderId="44" xfId="0" applyFont="1" applyBorder="1" applyAlignment="1"/>
    <xf numFmtId="0" fontId="18" fillId="0" borderId="86" xfId="0" applyFont="1" applyBorder="1" applyAlignment="1"/>
    <xf numFmtId="0" fontId="19" fillId="6" borderId="43" xfId="0" applyFont="1" applyFill="1" applyBorder="1" applyAlignment="1">
      <alignment horizontal="left" vertical="center"/>
    </xf>
    <xf numFmtId="0" fontId="18" fillId="0" borderId="43" xfId="0" applyFont="1" applyFill="1" applyBorder="1" applyAlignment="1"/>
    <xf numFmtId="0" fontId="19" fillId="6" borderId="85" xfId="0" applyFont="1" applyFill="1" applyBorder="1" applyAlignment="1">
      <alignment horizontal="left" vertical="center"/>
    </xf>
    <xf numFmtId="0" fontId="18" fillId="0" borderId="35" xfId="0" applyFont="1" applyFill="1" applyBorder="1" applyAlignment="1">
      <alignment horizontal="right" shrinkToFit="1"/>
    </xf>
    <xf numFmtId="0" fontId="18" fillId="0" borderId="44" xfId="0" applyFont="1" applyBorder="1" applyAlignment="1">
      <alignment horizontal="right"/>
    </xf>
    <xf numFmtId="0" fontId="18" fillId="0" borderId="35" xfId="0" applyFont="1" applyBorder="1" applyAlignment="1">
      <alignment horizontal="right"/>
    </xf>
    <xf numFmtId="0" fontId="18" fillId="0" borderId="44" xfId="0" applyFont="1" applyFill="1" applyBorder="1" applyAlignment="1">
      <alignment horizontal="right"/>
    </xf>
    <xf numFmtId="0" fontId="19" fillId="6" borderId="29" xfId="0" applyFont="1" applyFill="1" applyBorder="1" applyAlignment="1">
      <alignment horizontal="center"/>
    </xf>
    <xf numFmtId="169" fontId="19" fillId="0" borderId="29" xfId="3" applyNumberFormat="1" applyFont="1" applyFill="1" applyBorder="1" applyAlignment="1"/>
    <xf numFmtId="169" fontId="18" fillId="0" borderId="29" xfId="3" applyNumberFormat="1" applyFont="1" applyBorder="1" applyAlignment="1"/>
    <xf numFmtId="169" fontId="19" fillId="6" borderId="29" xfId="0" applyNumberFormat="1" applyFont="1" applyFill="1" applyBorder="1" applyAlignment="1"/>
    <xf numFmtId="9" fontId="19" fillId="13" borderId="29" xfId="1" applyNumberFormat="1" applyFont="1" applyFill="1" applyBorder="1" applyAlignment="1">
      <alignment horizontal="center"/>
    </xf>
    <xf numFmtId="169" fontId="18" fillId="0" borderId="29" xfId="0" applyNumberFormat="1" applyFont="1" applyBorder="1" applyAlignment="1"/>
    <xf numFmtId="168" fontId="31" fillId="11" borderId="29" xfId="0" applyNumberFormat="1" applyFont="1" applyFill="1" applyBorder="1" applyAlignment="1">
      <alignment horizontal="right"/>
    </xf>
    <xf numFmtId="169" fontId="18" fillId="0" borderId="29" xfId="3" applyNumberFormat="1" applyFont="1" applyBorder="1" applyAlignment="1">
      <alignment horizontal="center"/>
    </xf>
    <xf numFmtId="169" fontId="30" fillId="11" borderId="29" xfId="1" applyNumberFormat="1" applyFont="1" applyFill="1" applyBorder="1" applyAlignment="1"/>
    <xf numFmtId="169" fontId="19" fillId="0" borderId="29" xfId="0" applyNumberFormat="1" applyFont="1" applyFill="1" applyBorder="1" applyAlignment="1"/>
    <xf numFmtId="169" fontId="23" fillId="9" borderId="29" xfId="0" applyNumberFormat="1" applyFont="1" applyFill="1" applyBorder="1" applyAlignment="1"/>
    <xf numFmtId="169" fontId="30" fillId="11" borderId="29" xfId="0" applyNumberFormat="1" applyFont="1" applyFill="1" applyBorder="1" applyAlignment="1"/>
    <xf numFmtId="169" fontId="23" fillId="12" borderId="29" xfId="0" applyNumberFormat="1" applyFont="1" applyFill="1" applyBorder="1" applyAlignment="1"/>
    <xf numFmtId="0" fontId="19" fillId="6" borderId="64" xfId="0" applyFont="1" applyFill="1" applyBorder="1" applyAlignment="1">
      <alignment horizontal="center"/>
    </xf>
    <xf numFmtId="169" fontId="19" fillId="0" borderId="64" xfId="3" applyNumberFormat="1" applyFont="1" applyFill="1" applyBorder="1" applyAlignment="1"/>
    <xf numFmtId="169" fontId="18" fillId="0" borderId="124" xfId="3" applyNumberFormat="1" applyFont="1" applyBorder="1" applyAlignment="1"/>
    <xf numFmtId="0" fontId="19" fillId="0" borderId="79" xfId="0" applyFont="1" applyBorder="1" applyAlignment="1"/>
    <xf numFmtId="169" fontId="18" fillId="0" borderId="129" xfId="3" applyNumberFormat="1" applyFont="1" applyBorder="1" applyAlignment="1"/>
    <xf numFmtId="169" fontId="18" fillId="0" borderId="64" xfId="3" applyNumberFormat="1" applyFont="1" applyBorder="1" applyAlignment="1"/>
    <xf numFmtId="169" fontId="19" fillId="6" borderId="64" xfId="0" applyNumberFormat="1" applyFont="1" applyFill="1" applyBorder="1" applyAlignment="1"/>
    <xf numFmtId="10" fontId="19" fillId="13" borderId="64" xfId="1" applyNumberFormat="1" applyFont="1" applyFill="1" applyBorder="1" applyAlignment="1">
      <alignment horizontal="center"/>
    </xf>
    <xf numFmtId="169" fontId="19" fillId="0" borderId="64" xfId="3" applyNumberFormat="1" applyFont="1" applyBorder="1" applyAlignment="1"/>
    <xf numFmtId="169" fontId="19" fillId="6" borderId="95" xfId="0" applyNumberFormat="1" applyFont="1" applyFill="1" applyBorder="1" applyAlignment="1"/>
    <xf numFmtId="168" fontId="31" fillId="11" borderId="127" xfId="0" applyNumberFormat="1" applyFont="1" applyFill="1" applyBorder="1" applyAlignment="1">
      <alignment horizontal="right"/>
    </xf>
    <xf numFmtId="169" fontId="30" fillId="11" borderId="124" xfId="3" applyNumberFormat="1" applyFont="1" applyFill="1" applyBorder="1" applyAlignment="1"/>
    <xf numFmtId="169" fontId="30" fillId="11" borderId="127" xfId="0" applyNumberFormat="1" applyFont="1" applyFill="1" applyBorder="1" applyAlignment="1"/>
    <xf numFmtId="169" fontId="19" fillId="0" borderId="124" xfId="0" applyNumberFormat="1" applyFont="1" applyFill="1" applyBorder="1" applyAlignment="1"/>
    <xf numFmtId="169" fontId="18" fillId="6" borderId="129" xfId="0" applyNumberFormat="1" applyFont="1" applyFill="1" applyBorder="1" applyAlignment="1"/>
    <xf numFmtId="0" fontId="23" fillId="9" borderId="130" xfId="0" applyFont="1" applyFill="1" applyBorder="1" applyAlignment="1">
      <alignment horizontal="center"/>
    </xf>
    <xf numFmtId="0" fontId="23" fillId="12" borderId="130" xfId="0" applyFont="1" applyFill="1" applyBorder="1" applyAlignment="1">
      <alignment horizontal="center"/>
    </xf>
    <xf numFmtId="0" fontId="19" fillId="6" borderId="131" xfId="0" applyFont="1" applyFill="1" applyBorder="1" applyAlignment="1">
      <alignment horizontal="center"/>
    </xf>
    <xf numFmtId="168" fontId="18" fillId="0" borderId="10" xfId="0" applyNumberFormat="1" applyFont="1" applyFill="1" applyBorder="1" applyAlignment="1">
      <alignment vertical="center"/>
    </xf>
    <xf numFmtId="168" fontId="18" fillId="0" borderId="2" xfId="0" applyNumberFormat="1" applyFont="1" applyFill="1" applyBorder="1" applyAlignment="1">
      <alignment vertical="center"/>
    </xf>
    <xf numFmtId="168" fontId="18" fillId="0" borderId="53" xfId="0" applyNumberFormat="1" applyFont="1" applyFill="1" applyBorder="1" applyAlignment="1">
      <alignment vertical="center"/>
    </xf>
    <xf numFmtId="168" fontId="37" fillId="6" borderId="3" xfId="0" applyNumberFormat="1" applyFont="1" applyFill="1" applyBorder="1" applyAlignment="1">
      <alignment horizontal="center" vertical="center"/>
    </xf>
    <xf numFmtId="173" fontId="19" fillId="0" borderId="3" xfId="0" applyNumberFormat="1" applyFont="1" applyBorder="1" applyAlignment="1">
      <alignment horizontal="center" vertical="center"/>
    </xf>
    <xf numFmtId="168" fontId="19" fillId="0" borderId="3" xfId="0" applyNumberFormat="1" applyFont="1" applyBorder="1" applyAlignment="1">
      <alignment horizontal="center" vertical="center"/>
    </xf>
    <xf numFmtId="168" fontId="19" fillId="6" borderId="139" xfId="0" applyNumberFormat="1" applyFont="1" applyFill="1" applyBorder="1" applyAlignment="1">
      <alignment vertical="center"/>
    </xf>
    <xf numFmtId="168" fontId="18" fillId="0" borderId="82" xfId="0" applyNumberFormat="1" applyFont="1" applyBorder="1" applyAlignment="1">
      <alignment vertical="center"/>
    </xf>
    <xf numFmtId="168" fontId="12" fillId="6" borderId="108" xfId="0" applyNumberFormat="1" applyFont="1" applyFill="1" applyBorder="1" applyAlignment="1">
      <alignment vertical="center"/>
    </xf>
    <xf numFmtId="168" fontId="12" fillId="6" borderId="109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2" fillId="6" borderId="132" xfId="0" applyFont="1" applyFill="1" applyBorder="1" applyAlignment="1">
      <alignment horizontal="center"/>
    </xf>
    <xf numFmtId="0" fontId="18" fillId="0" borderId="21" xfId="0" applyFont="1" applyBorder="1"/>
    <xf numFmtId="164" fontId="18" fillId="0" borderId="20" xfId="3" applyFont="1" applyBorder="1"/>
    <xf numFmtId="0" fontId="18" fillId="0" borderId="24" xfId="0" applyFont="1" applyBorder="1"/>
    <xf numFmtId="164" fontId="18" fillId="0" borderId="25" xfId="0" applyNumberFormat="1" applyFont="1" applyBorder="1"/>
    <xf numFmtId="0" fontId="11" fillId="0" borderId="31" xfId="0" applyFont="1" applyFill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 wrapText="1"/>
    </xf>
    <xf numFmtId="0" fontId="11" fillId="0" borderId="32" xfId="0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/>
    </xf>
    <xf numFmtId="0" fontId="11" fillId="0" borderId="140" xfId="0" applyFont="1" applyFill="1" applyBorder="1" applyAlignment="1">
      <alignment horizontal="right" vertical="center" wrapText="1"/>
    </xf>
    <xf numFmtId="0" fontId="19" fillId="6" borderId="141" xfId="0" applyFont="1" applyFill="1" applyBorder="1" applyAlignment="1">
      <alignment horizontal="right" vertical="center"/>
    </xf>
    <xf numFmtId="9" fontId="19" fillId="0" borderId="102" xfId="1" applyFont="1" applyFill="1" applyBorder="1" applyAlignment="1">
      <alignment vertical="center"/>
    </xf>
    <xf numFmtId="9" fontId="19" fillId="0" borderId="99" xfId="1" applyFont="1" applyFill="1" applyBorder="1" applyAlignment="1">
      <alignment vertical="center"/>
    </xf>
    <xf numFmtId="9" fontId="19" fillId="0" borderId="116" xfId="1" applyFont="1" applyFill="1" applyBorder="1" applyAlignment="1">
      <alignment vertical="center"/>
    </xf>
    <xf numFmtId="9" fontId="19" fillId="0" borderId="100" xfId="1" applyFont="1" applyFill="1" applyBorder="1" applyAlignment="1">
      <alignment vertical="center"/>
    </xf>
    <xf numFmtId="9" fontId="19" fillId="0" borderId="101" xfId="1" applyFont="1" applyFill="1" applyBorder="1" applyAlignment="1">
      <alignment vertical="center"/>
    </xf>
    <xf numFmtId="9" fontId="19" fillId="0" borderId="142" xfId="1" applyFont="1" applyFill="1" applyBorder="1" applyAlignment="1">
      <alignment vertical="center"/>
    </xf>
    <xf numFmtId="9" fontId="19" fillId="6" borderId="143" xfId="1" applyFont="1" applyFill="1" applyBorder="1" applyAlignment="1">
      <alignment vertical="center"/>
    </xf>
    <xf numFmtId="0" fontId="12" fillId="6" borderId="85" xfId="0" applyFont="1" applyFill="1" applyBorder="1" applyAlignment="1">
      <alignment horizontal="center" vertical="center" wrapText="1"/>
    </xf>
    <xf numFmtId="168" fontId="18" fillId="0" borderId="35" xfId="0" applyNumberFormat="1" applyFont="1" applyFill="1" applyBorder="1" applyAlignment="1">
      <alignment vertical="center"/>
    </xf>
    <xf numFmtId="168" fontId="18" fillId="0" borderId="44" xfId="0" applyNumberFormat="1" applyFont="1" applyFill="1" applyBorder="1" applyAlignment="1">
      <alignment vertical="center"/>
    </xf>
    <xf numFmtId="168" fontId="18" fillId="0" borderId="86" xfId="0" applyNumberFormat="1" applyFont="1" applyFill="1" applyBorder="1" applyAlignment="1">
      <alignment vertical="center"/>
    </xf>
    <xf numFmtId="168" fontId="18" fillId="0" borderId="43" xfId="0" applyNumberFormat="1" applyFont="1" applyFill="1" applyBorder="1" applyAlignment="1">
      <alignment vertical="center"/>
    </xf>
    <xf numFmtId="168" fontId="18" fillId="0" borderId="85" xfId="0" applyNumberFormat="1" applyFont="1" applyFill="1" applyBorder="1" applyAlignment="1">
      <alignment vertical="center"/>
    </xf>
    <xf numFmtId="168" fontId="18" fillId="0" borderId="144" xfId="0" applyNumberFormat="1" applyFont="1" applyFill="1" applyBorder="1" applyAlignment="1">
      <alignment vertical="center"/>
    </xf>
    <xf numFmtId="168" fontId="19" fillId="6" borderId="145" xfId="0" applyNumberFormat="1" applyFont="1" applyFill="1" applyBorder="1" applyAlignment="1">
      <alignment vertical="center"/>
    </xf>
    <xf numFmtId="0" fontId="12" fillId="6" borderId="88" xfId="0" applyFont="1" applyFill="1" applyBorder="1" applyAlignment="1">
      <alignment horizontal="center" vertical="center" wrapText="1"/>
    </xf>
    <xf numFmtId="175" fontId="18" fillId="0" borderId="90" xfId="0" applyNumberFormat="1" applyFont="1" applyFill="1" applyBorder="1" applyAlignment="1">
      <alignment horizontal="center" vertical="center"/>
    </xf>
    <xf numFmtId="175" fontId="18" fillId="0" borderId="91" xfId="0" applyNumberFormat="1" applyFont="1" applyFill="1" applyBorder="1" applyAlignment="1">
      <alignment horizontal="center" vertical="center"/>
    </xf>
    <xf numFmtId="175" fontId="18" fillId="0" borderId="89" xfId="0" applyNumberFormat="1" applyFont="1" applyFill="1" applyBorder="1" applyAlignment="1">
      <alignment horizontal="center" vertical="center"/>
    </xf>
    <xf numFmtId="175" fontId="18" fillId="0" borderId="87" xfId="0" applyNumberFormat="1" applyFont="1" applyFill="1" applyBorder="1" applyAlignment="1">
      <alignment horizontal="center" vertical="center"/>
    </xf>
    <xf numFmtId="175" fontId="18" fillId="0" borderId="88" xfId="0" applyNumberFormat="1" applyFont="1" applyFill="1" applyBorder="1" applyAlignment="1">
      <alignment horizontal="center" vertical="center"/>
    </xf>
    <xf numFmtId="175" fontId="18" fillId="0" borderId="146" xfId="0" applyNumberFormat="1" applyFont="1" applyFill="1" applyBorder="1" applyAlignment="1">
      <alignment horizontal="center" vertical="center"/>
    </xf>
    <xf numFmtId="0" fontId="19" fillId="6" borderId="147" xfId="0" applyFont="1" applyFill="1" applyBorder="1" applyAlignment="1">
      <alignment vertical="center"/>
    </xf>
    <xf numFmtId="0" fontId="12" fillId="6" borderId="117" xfId="0" applyFont="1" applyFill="1" applyBorder="1" applyAlignment="1">
      <alignment horizontal="center" vertical="center" wrapText="1"/>
    </xf>
    <xf numFmtId="0" fontId="12" fillId="6" borderId="99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9" fontId="18" fillId="0" borderId="2" xfId="3" applyNumberFormat="1" applyFont="1" applyBorder="1" applyAlignment="1">
      <alignment vertical="center"/>
    </xf>
    <xf numFmtId="169" fontId="18" fillId="0" borderId="3" xfId="3" applyNumberFormat="1" applyFont="1" applyBorder="1" applyAlignment="1">
      <alignment vertical="center"/>
    </xf>
    <xf numFmtId="169" fontId="18" fillId="0" borderId="2" xfId="3" applyNumberFormat="1" applyFont="1" applyFill="1" applyBorder="1" applyAlignment="1">
      <alignment vertical="center"/>
    </xf>
    <xf numFmtId="169" fontId="18" fillId="0" borderId="3" xfId="0" applyNumberFormat="1" applyFont="1" applyBorder="1" applyAlignment="1">
      <alignment vertical="center"/>
    </xf>
    <xf numFmtId="183" fontId="18" fillId="0" borderId="3" xfId="0" applyNumberFormat="1" applyFont="1" applyBorder="1" applyAlignment="1">
      <alignment horizontal="right" vertical="center"/>
    </xf>
    <xf numFmtId="169" fontId="19" fillId="0" borderId="3" xfId="3" applyNumberFormat="1" applyFont="1" applyBorder="1" applyAlignment="1">
      <alignment vertical="center"/>
    </xf>
    <xf numFmtId="182" fontId="18" fillId="0" borderId="3" xfId="0" applyNumberFormat="1" applyFont="1" applyBorder="1" applyAlignment="1">
      <alignment horizontal="right" vertical="center"/>
    </xf>
    <xf numFmtId="183" fontId="19" fillId="0" borderId="3" xfId="0" applyNumberFormat="1" applyFont="1" applyBorder="1" applyAlignment="1">
      <alignment horizontal="right" vertical="center"/>
    </xf>
    <xf numFmtId="183" fontId="19" fillId="0" borderId="6" xfId="0" applyNumberFormat="1" applyFont="1" applyBorder="1" applyAlignment="1">
      <alignment horizontal="right" vertical="center"/>
    </xf>
    <xf numFmtId="0" fontId="19" fillId="2" borderId="53" xfId="0" applyFont="1" applyFill="1" applyBorder="1" applyAlignment="1">
      <alignment vertical="center"/>
    </xf>
    <xf numFmtId="169" fontId="19" fillId="2" borderId="53" xfId="0" applyNumberFormat="1" applyFont="1" applyFill="1" applyBorder="1" applyAlignment="1">
      <alignment vertical="center"/>
    </xf>
    <xf numFmtId="169" fontId="19" fillId="2" borderId="78" xfId="0" applyNumberFormat="1" applyFont="1" applyFill="1" applyBorder="1" applyAlignment="1">
      <alignment vertical="center"/>
    </xf>
    <xf numFmtId="0" fontId="0" fillId="0" borderId="148" xfId="0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169" fontId="18" fillId="0" borderId="0" xfId="3" applyNumberFormat="1" applyFont="1"/>
    <xf numFmtId="169" fontId="18" fillId="0" borderId="121" xfId="3" applyNumberFormat="1" applyFont="1" applyBorder="1" applyAlignment="1"/>
    <xf numFmtId="169" fontId="18" fillId="0" borderId="30" xfId="3" applyNumberFormat="1" applyFont="1" applyBorder="1" applyAlignment="1"/>
    <xf numFmtId="0" fontId="19" fillId="6" borderId="120" xfId="0" applyFont="1" applyFill="1" applyBorder="1" applyAlignment="1">
      <alignment horizontal="center"/>
    </xf>
    <xf numFmtId="0" fontId="19" fillId="6" borderId="127" xfId="0" applyFont="1" applyFill="1" applyBorder="1" applyAlignment="1">
      <alignment horizontal="center"/>
    </xf>
    <xf numFmtId="9" fontId="27" fillId="2" borderId="1" xfId="1" applyFont="1" applyFill="1" applyBorder="1" applyAlignment="1">
      <alignment horizontal="right" vertical="center"/>
    </xf>
    <xf numFmtId="9" fontId="12" fillId="2" borderId="3" xfId="1" applyFont="1" applyFill="1" applyBorder="1" applyAlignment="1">
      <alignment horizontal="center" vertical="center"/>
    </xf>
    <xf numFmtId="9" fontId="27" fillId="0" borderId="1" xfId="1" applyFont="1" applyFill="1" applyBorder="1" applyAlignment="1">
      <alignment vertical="center"/>
    </xf>
    <xf numFmtId="9" fontId="11" fillId="0" borderId="3" xfId="1" applyFont="1" applyFill="1" applyBorder="1" applyAlignment="1">
      <alignment horizontal="center" vertical="center"/>
    </xf>
    <xf numFmtId="9" fontId="11" fillId="2" borderId="3" xfId="1" applyFont="1" applyFill="1" applyBorder="1" applyAlignment="1">
      <alignment horizontal="center" vertical="center"/>
    </xf>
    <xf numFmtId="9" fontId="12" fillId="6" borderId="3" xfId="1" applyFont="1" applyFill="1" applyBorder="1" applyAlignment="1">
      <alignment horizontal="center" vertical="center"/>
    </xf>
    <xf numFmtId="9" fontId="28" fillId="0" borderId="3" xfId="1" applyFont="1" applyFill="1" applyBorder="1" applyAlignment="1">
      <alignment horizontal="center" vertical="center"/>
    </xf>
    <xf numFmtId="168" fontId="28" fillId="0" borderId="5" xfId="0" applyNumberFormat="1" applyFont="1" applyFill="1" applyBorder="1" applyAlignment="1">
      <alignment horizontal="right" vertical="center"/>
    </xf>
    <xf numFmtId="9" fontId="28" fillId="0" borderId="6" xfId="1" applyFont="1" applyFill="1" applyBorder="1" applyAlignment="1">
      <alignment horizontal="center" vertical="center"/>
    </xf>
    <xf numFmtId="168" fontId="11" fillId="0" borderId="43" xfId="0" applyNumberFormat="1" applyFont="1" applyBorder="1" applyAlignment="1">
      <alignment horizontal="right" vertical="center"/>
    </xf>
    <xf numFmtId="168" fontId="11" fillId="0" borderId="44" xfId="0" applyNumberFormat="1" applyFont="1" applyBorder="1" applyAlignment="1">
      <alignment horizontal="right" vertical="center"/>
    </xf>
    <xf numFmtId="9" fontId="12" fillId="6" borderId="80" xfId="1" applyFont="1" applyFill="1" applyBorder="1" applyAlignment="1">
      <alignment horizontal="center" vertical="center"/>
    </xf>
    <xf numFmtId="167" fontId="11" fillId="0" borderId="96" xfId="0" applyNumberFormat="1" applyFont="1" applyBorder="1" applyAlignment="1">
      <alignment horizontal="center" vertical="center"/>
    </xf>
    <xf numFmtId="167" fontId="11" fillId="0" borderId="138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2" fillId="6" borderId="53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2" fillId="6" borderId="15" xfId="0" applyFont="1" applyFill="1" applyBorder="1" applyAlignment="1">
      <alignment horizontal="center"/>
    </xf>
    <xf numFmtId="9" fontId="11" fillId="0" borderId="23" xfId="1" applyFont="1" applyBorder="1" applyAlignment="1">
      <alignment horizontal="center"/>
    </xf>
    <xf numFmtId="170" fontId="11" fillId="0" borderId="20" xfId="1" applyNumberFormat="1" applyFont="1" applyBorder="1" applyAlignment="1">
      <alignment horizontal="center"/>
    </xf>
    <xf numFmtId="9" fontId="12" fillId="6" borderId="25" xfId="1" applyFont="1" applyFill="1" applyBorder="1" applyAlignment="1">
      <alignment horizontal="center"/>
    </xf>
    <xf numFmtId="9" fontId="0" fillId="0" borderId="0" xfId="0" applyNumberFormat="1" applyAlignment="1">
      <alignment vertical="center"/>
    </xf>
    <xf numFmtId="0" fontId="0" fillId="0" borderId="0" xfId="1" applyNumberFormat="1" applyFont="1" applyAlignment="1">
      <alignment vertical="center"/>
    </xf>
    <xf numFmtId="9" fontId="55" fillId="6" borderId="79" xfId="1" applyFont="1" applyFill="1" applyBorder="1" applyAlignment="1">
      <alignment horizontal="center"/>
    </xf>
    <xf numFmtId="0" fontId="0" fillId="0" borderId="48" xfId="0" applyBorder="1" applyAlignment="1">
      <alignment horizontal="right" vertical="center" wrapText="1"/>
    </xf>
    <xf numFmtId="167" fontId="0" fillId="0" borderId="151" xfId="0" applyNumberFormat="1" applyBorder="1" applyAlignment="1">
      <alignment horizontal="center" vertical="center"/>
    </xf>
    <xf numFmtId="168" fontId="0" fillId="0" borderId="152" xfId="0" applyNumberFormat="1" applyBorder="1" applyAlignment="1">
      <alignment horizontal="center" vertical="center"/>
    </xf>
    <xf numFmtId="0" fontId="0" fillId="0" borderId="49" xfId="0" applyBorder="1" applyAlignment="1">
      <alignment horizontal="right" vertical="center" wrapText="1"/>
    </xf>
    <xf numFmtId="167" fontId="0" fillId="0" borderId="86" xfId="0" applyNumberFormat="1" applyBorder="1" applyAlignment="1">
      <alignment horizontal="center" vertical="center"/>
    </xf>
    <xf numFmtId="168" fontId="0" fillId="0" borderId="116" xfId="0" applyNumberFormat="1" applyBorder="1" applyAlignment="1">
      <alignment horizontal="center" vertical="center"/>
    </xf>
    <xf numFmtId="0" fontId="0" fillId="0" borderId="24" xfId="0" applyBorder="1" applyAlignment="1">
      <alignment horizontal="right"/>
    </xf>
    <xf numFmtId="0" fontId="0" fillId="0" borderId="44" xfId="0" applyBorder="1" applyAlignment="1">
      <alignment horizontal="center" vertical="center"/>
    </xf>
    <xf numFmtId="1" fontId="0" fillId="0" borderId="99" xfId="0" applyNumberFormat="1" applyBorder="1" applyAlignment="1">
      <alignment horizontal="center" vertical="center"/>
    </xf>
    <xf numFmtId="0" fontId="13" fillId="7" borderId="65" xfId="0" applyFont="1" applyFill="1" applyBorder="1" applyAlignment="1">
      <alignment vertical="center"/>
    </xf>
    <xf numFmtId="0" fontId="13" fillId="7" borderId="55" xfId="0" applyFont="1" applyFill="1" applyBorder="1" applyAlignment="1">
      <alignment vertical="center"/>
    </xf>
    <xf numFmtId="0" fontId="13" fillId="7" borderId="76" xfId="0" applyFont="1" applyFill="1" applyBorder="1" applyAlignment="1">
      <alignment vertical="center"/>
    </xf>
    <xf numFmtId="0" fontId="23" fillId="7" borderId="140" xfId="0" applyFont="1" applyFill="1" applyBorder="1" applyAlignment="1">
      <alignment horizontal="center" vertical="center" wrapText="1"/>
    </xf>
    <xf numFmtId="3" fontId="11" fillId="0" borderId="153" xfId="3" applyNumberFormat="1" applyFont="1" applyFill="1" applyBorder="1" applyAlignment="1">
      <alignment horizontal="center" vertical="center"/>
    </xf>
    <xf numFmtId="3" fontId="11" fillId="6" borderId="32" xfId="3" applyNumberFormat="1" applyFont="1" applyFill="1" applyBorder="1" applyAlignment="1">
      <alignment horizontal="center" vertical="center"/>
    </xf>
    <xf numFmtId="3" fontId="11" fillId="0" borderId="32" xfId="3" applyNumberFormat="1" applyFont="1" applyFill="1" applyBorder="1" applyAlignment="1">
      <alignment horizontal="center" vertical="center"/>
    </xf>
    <xf numFmtId="3" fontId="11" fillId="0" borderId="117" xfId="3" applyNumberFormat="1" applyFont="1" applyFill="1" applyBorder="1" applyAlignment="1">
      <alignment horizontal="center" vertical="center"/>
    </xf>
    <xf numFmtId="3" fontId="12" fillId="3" borderId="140" xfId="3" applyNumberFormat="1" applyFont="1" applyFill="1" applyBorder="1" applyAlignment="1">
      <alignment horizontal="center" vertical="center"/>
    </xf>
    <xf numFmtId="0" fontId="23" fillId="7" borderId="157" xfId="0" applyFont="1" applyFill="1" applyBorder="1" applyAlignment="1">
      <alignment horizontal="center" vertical="center" wrapText="1"/>
    </xf>
    <xf numFmtId="0" fontId="23" fillId="7" borderId="158" xfId="0" applyFont="1" applyFill="1" applyBorder="1" applyAlignment="1">
      <alignment horizontal="center" vertical="center" wrapText="1"/>
    </xf>
    <xf numFmtId="0" fontId="11" fillId="0" borderId="79" xfId="0" applyFont="1" applyBorder="1" applyAlignment="1">
      <alignment horizontal="center" vertical="center"/>
    </xf>
    <xf numFmtId="181" fontId="11" fillId="0" borderId="80" xfId="3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181" fontId="11" fillId="6" borderId="3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81" fontId="11" fillId="0" borderId="3" xfId="3" applyNumberFormat="1" applyFont="1" applyFill="1" applyBorder="1" applyAlignment="1">
      <alignment horizontal="center" vertical="center"/>
    </xf>
    <xf numFmtId="0" fontId="11" fillId="0" borderId="77" xfId="0" applyFont="1" applyBorder="1" applyAlignment="1">
      <alignment horizontal="center" vertical="center"/>
    </xf>
    <xf numFmtId="181" fontId="11" fillId="0" borderId="78" xfId="3" applyNumberFormat="1" applyFont="1" applyFill="1" applyBorder="1" applyAlignment="1">
      <alignment horizontal="center" vertical="center"/>
    </xf>
    <xf numFmtId="0" fontId="12" fillId="3" borderId="159" xfId="0" applyFont="1" applyFill="1" applyBorder="1" applyAlignment="1">
      <alignment horizontal="center" vertical="center"/>
    </xf>
    <xf numFmtId="3" fontId="12" fillId="3" borderId="103" xfId="0" applyNumberFormat="1" applyFont="1" applyFill="1" applyBorder="1" applyAlignment="1">
      <alignment horizontal="center" vertical="center"/>
    </xf>
    <xf numFmtId="181" fontId="43" fillId="11" borderId="103" xfId="3" applyNumberFormat="1" applyFont="1" applyFill="1" applyBorder="1" applyAlignment="1">
      <alignment horizontal="center" vertical="center"/>
    </xf>
    <xf numFmtId="181" fontId="12" fillId="3" borderId="104" xfId="3" applyNumberFormat="1" applyFont="1" applyFill="1" applyBorder="1" applyAlignment="1">
      <alignment horizontal="center" vertical="center"/>
    </xf>
    <xf numFmtId="2" fontId="19" fillId="0" borderId="6" xfId="1" applyNumberFormat="1" applyFont="1" applyBorder="1" applyAlignment="1">
      <alignment horizontal="center" vertical="center"/>
    </xf>
    <xf numFmtId="1" fontId="19" fillId="0" borderId="78" xfId="2" applyNumberFormat="1" applyFont="1" applyBorder="1" applyAlignment="1">
      <alignment horizontal="center" vertical="center"/>
    </xf>
    <xf numFmtId="168" fontId="19" fillId="0" borderId="13" xfId="0" applyNumberFormat="1" applyFont="1" applyFill="1" applyBorder="1" applyAlignment="1">
      <alignment horizontal="center" vertical="center"/>
    </xf>
    <xf numFmtId="0" fontId="5" fillId="0" borderId="0" xfId="1" applyNumberFormat="1" applyFont="1"/>
    <xf numFmtId="0" fontId="18" fillId="10" borderId="2" xfId="0" applyFont="1" applyFill="1" applyBorder="1" applyAlignment="1">
      <alignment horizontal="center"/>
    </xf>
    <xf numFmtId="167" fontId="12" fillId="0" borderId="0" xfId="0" applyNumberFormat="1" applyFont="1"/>
    <xf numFmtId="0" fontId="12" fillId="0" borderId="0" xfId="0" applyFont="1"/>
    <xf numFmtId="168" fontId="18" fillId="2" borderId="77" xfId="0" applyNumberFormat="1" applyFont="1" applyFill="1" applyBorder="1" applyAlignment="1">
      <alignment vertical="center"/>
    </xf>
    <xf numFmtId="9" fontId="19" fillId="2" borderId="78" xfId="1" applyFont="1" applyFill="1" applyBorder="1" applyAlignment="1">
      <alignment horizontal="center" vertical="center"/>
    </xf>
    <xf numFmtId="168" fontId="18" fillId="2" borderId="117" xfId="0" applyNumberFormat="1" applyFont="1" applyFill="1" applyBorder="1" applyAlignment="1">
      <alignment vertical="center"/>
    </xf>
    <xf numFmtId="169" fontId="54" fillId="6" borderId="29" xfId="3" applyNumberFormat="1" applyFont="1" applyFill="1" applyBorder="1" applyAlignment="1">
      <alignment horizontal="center"/>
    </xf>
    <xf numFmtId="169" fontId="54" fillId="6" borderId="64" xfId="3" applyNumberFormat="1" applyFont="1" applyFill="1" applyBorder="1" applyAlignment="1">
      <alignment horizontal="center"/>
    </xf>
    <xf numFmtId="9" fontId="54" fillId="6" borderId="130" xfId="1" applyNumberFormat="1" applyFont="1" applyFill="1" applyBorder="1" applyAlignment="1">
      <alignment horizontal="center"/>
    </xf>
    <xf numFmtId="9" fontId="54" fillId="6" borderId="131" xfId="1" applyNumberFormat="1" applyFont="1" applyFill="1" applyBorder="1" applyAlignment="1">
      <alignment horizontal="center"/>
    </xf>
    <xf numFmtId="0" fontId="14" fillId="6" borderId="1" xfId="0" applyFont="1" applyFill="1" applyBorder="1" applyAlignment="1">
      <alignment horizontal="right"/>
    </xf>
    <xf numFmtId="168" fontId="14" fillId="6" borderId="3" xfId="0" applyNumberFormat="1" applyFont="1" applyFill="1" applyBorder="1"/>
    <xf numFmtId="3" fontId="12" fillId="6" borderId="1" xfId="0" applyNumberFormat="1" applyFont="1" applyFill="1" applyBorder="1" applyAlignment="1">
      <alignment horizontal="right"/>
    </xf>
    <xf numFmtId="168" fontId="12" fillId="6" borderId="3" xfId="0" applyNumberFormat="1" applyFont="1" applyFill="1" applyBorder="1"/>
    <xf numFmtId="0" fontId="2" fillId="0" borderId="56" xfId="0" applyFont="1" applyFill="1" applyBorder="1" applyAlignment="1">
      <alignment horizontal="right" vertical="center" wrapText="1"/>
    </xf>
    <xf numFmtId="0" fontId="2" fillId="0" borderId="161" xfId="0" applyFont="1" applyFill="1" applyBorder="1" applyAlignment="1">
      <alignment horizontal="center" vertical="center"/>
    </xf>
    <xf numFmtId="2" fontId="2" fillId="0" borderId="162" xfId="0" applyNumberFormat="1" applyFont="1" applyFill="1" applyBorder="1" applyAlignment="1">
      <alignment horizontal="center" vertical="center"/>
    </xf>
    <xf numFmtId="0" fontId="2" fillId="2" borderId="163" xfId="0" applyFont="1" applyFill="1" applyBorder="1" applyAlignment="1">
      <alignment horizontal="center" vertical="center" wrapText="1"/>
    </xf>
    <xf numFmtId="167" fontId="0" fillId="2" borderId="164" xfId="0" applyNumberFormat="1" applyFill="1" applyBorder="1" applyAlignment="1">
      <alignment horizontal="center" vertical="center"/>
    </xf>
    <xf numFmtId="168" fontId="52" fillId="2" borderId="160" xfId="0" applyNumberFormat="1" applyFont="1" applyFill="1" applyBorder="1" applyAlignment="1">
      <alignment horizontal="center" vertical="center"/>
    </xf>
    <xf numFmtId="168" fontId="11" fillId="0" borderId="94" xfId="0" applyNumberFormat="1" applyFont="1" applyFill="1" applyBorder="1"/>
    <xf numFmtId="2" fontId="12" fillId="6" borderId="1" xfId="0" applyNumberFormat="1" applyFont="1" applyFill="1" applyBorder="1" applyAlignment="1">
      <alignment horizontal="right"/>
    </xf>
    <xf numFmtId="0" fontId="13" fillId="7" borderId="135" xfId="0" applyFont="1" applyFill="1" applyBorder="1" applyAlignment="1">
      <alignment vertical="center" shrinkToFit="1"/>
    </xf>
    <xf numFmtId="0" fontId="11" fillId="0" borderId="92" xfId="0" applyFont="1" applyBorder="1" applyAlignment="1">
      <alignment vertical="center"/>
    </xf>
    <xf numFmtId="0" fontId="11" fillId="0" borderId="67" xfId="0" applyFont="1" applyBorder="1" applyAlignment="1">
      <alignment vertical="center"/>
    </xf>
    <xf numFmtId="0" fontId="11" fillId="0" borderId="95" xfId="0" applyFont="1" applyBorder="1" applyAlignment="1">
      <alignment vertical="center"/>
    </xf>
    <xf numFmtId="0" fontId="12" fillId="0" borderId="111" xfId="0" applyFont="1" applyFill="1" applyBorder="1" applyAlignment="1">
      <alignment vertical="center"/>
    </xf>
    <xf numFmtId="0" fontId="12" fillId="0" borderId="27" xfId="0" applyFont="1" applyFill="1" applyBorder="1" applyAlignment="1">
      <alignment vertical="center"/>
    </xf>
    <xf numFmtId="0" fontId="12" fillId="0" borderId="112" xfId="0" applyFont="1" applyFill="1" applyBorder="1" applyAlignment="1">
      <alignment vertical="center"/>
    </xf>
    <xf numFmtId="0" fontId="11" fillId="0" borderId="111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1" fillId="0" borderId="112" xfId="0" applyFont="1" applyBorder="1" applyAlignment="1">
      <alignment vertical="center"/>
    </xf>
    <xf numFmtId="0" fontId="11" fillId="0" borderId="165" xfId="0" applyFont="1" applyBorder="1" applyAlignment="1">
      <alignment vertical="center"/>
    </xf>
    <xf numFmtId="0" fontId="11" fillId="0" borderId="151" xfId="0" applyFont="1" applyBorder="1" applyAlignment="1">
      <alignment vertical="center"/>
    </xf>
    <xf numFmtId="168" fontId="12" fillId="6" borderId="110" xfId="0" applyNumberFormat="1" applyFont="1" applyFill="1" applyBorder="1" applyAlignment="1">
      <alignment vertical="center"/>
    </xf>
    <xf numFmtId="0" fontId="11" fillId="0" borderId="78" xfId="0" applyFont="1" applyBorder="1" applyAlignment="1">
      <alignment vertical="center"/>
    </xf>
    <xf numFmtId="0" fontId="12" fillId="0" borderId="158" xfId="0" applyFont="1" applyFill="1" applyBorder="1" applyAlignment="1">
      <alignment vertical="center"/>
    </xf>
    <xf numFmtId="0" fontId="11" fillId="0" borderId="158" xfId="0" applyFont="1" applyBorder="1" applyAlignment="1">
      <alignment vertical="center"/>
    </xf>
    <xf numFmtId="0" fontId="12" fillId="6" borderId="59" xfId="0" applyFont="1" applyFill="1" applyBorder="1" applyAlignment="1">
      <alignment horizontal="center" vertical="center"/>
    </xf>
    <xf numFmtId="9" fontId="11" fillId="0" borderId="41" xfId="1" applyFont="1" applyFill="1" applyBorder="1" applyAlignment="1">
      <alignment horizontal="center" vertical="center"/>
    </xf>
    <xf numFmtId="9" fontId="12" fillId="6" borderId="42" xfId="1" applyFont="1" applyFill="1" applyBorder="1" applyAlignment="1">
      <alignment horizontal="center" vertical="center"/>
    </xf>
    <xf numFmtId="9" fontId="11" fillId="6" borderId="42" xfId="1" applyFont="1" applyFill="1" applyBorder="1" applyAlignment="1">
      <alignment horizontal="center" vertical="center"/>
    </xf>
    <xf numFmtId="0" fontId="11" fillId="0" borderId="151" xfId="0" applyFont="1" applyBorder="1" applyAlignment="1">
      <alignment horizontal="center" vertical="center"/>
    </xf>
    <xf numFmtId="9" fontId="11" fillId="0" borderId="41" xfId="1" applyFont="1" applyBorder="1" applyAlignment="1">
      <alignment horizontal="center" vertical="center"/>
    </xf>
    <xf numFmtId="168" fontId="11" fillId="0" borderId="63" xfId="0" applyNumberFormat="1" applyFont="1" applyFill="1" applyBorder="1" applyAlignment="1">
      <alignment vertical="center"/>
    </xf>
    <xf numFmtId="168" fontId="12" fillId="6" borderId="106" xfId="0" applyNumberFormat="1" applyFont="1" applyFill="1" applyBorder="1" applyAlignment="1">
      <alignment vertical="center"/>
    </xf>
    <xf numFmtId="168" fontId="11" fillId="6" borderId="106" xfId="0" applyNumberFormat="1" applyFont="1" applyFill="1" applyBorder="1" applyAlignment="1">
      <alignment vertical="center"/>
    </xf>
    <xf numFmtId="0" fontId="11" fillId="0" borderId="96" xfId="0" applyFont="1" applyBorder="1" applyAlignment="1">
      <alignment vertical="center"/>
    </xf>
    <xf numFmtId="168" fontId="11" fillId="0" borderId="63" xfId="0" applyNumberFormat="1" applyFont="1" applyBorder="1" applyAlignment="1">
      <alignment vertical="center"/>
    </xf>
    <xf numFmtId="0" fontId="12" fillId="6" borderId="11" xfId="0" applyFont="1" applyFill="1" applyBorder="1" applyAlignment="1">
      <alignment horizontal="center" vertical="center"/>
    </xf>
    <xf numFmtId="168" fontId="11" fillId="0" borderId="1" xfId="0" applyNumberFormat="1" applyFont="1" applyFill="1" applyBorder="1" applyAlignment="1">
      <alignment vertical="center"/>
    </xf>
    <xf numFmtId="168" fontId="12" fillId="6" borderId="14" xfId="0" applyNumberFormat="1" applyFont="1" applyFill="1" applyBorder="1" applyAlignment="1">
      <alignment vertical="center"/>
    </xf>
    <xf numFmtId="168" fontId="11" fillId="6" borderId="14" xfId="0" applyNumberFormat="1" applyFont="1" applyFill="1" applyBorder="1" applyAlignment="1">
      <alignment vertical="center"/>
    </xf>
    <xf numFmtId="167" fontId="12" fillId="6" borderId="11" xfId="0" applyNumberFormat="1" applyFont="1" applyFill="1" applyBorder="1" applyAlignment="1">
      <alignment horizontal="center" vertical="center"/>
    </xf>
    <xf numFmtId="168" fontId="11" fillId="0" borderId="1" xfId="0" applyNumberFormat="1" applyFont="1" applyBorder="1" applyAlignment="1">
      <alignment vertical="center"/>
    </xf>
    <xf numFmtId="168" fontId="14" fillId="6" borderId="3" xfId="0" applyNumberFormat="1" applyFont="1" applyFill="1" applyBorder="1" applyAlignment="1">
      <alignment vertical="center"/>
    </xf>
    <xf numFmtId="168" fontId="18" fillId="0" borderId="78" xfId="0" applyNumberFormat="1" applyFont="1" applyBorder="1" applyAlignment="1">
      <alignment vertical="center"/>
    </xf>
    <xf numFmtId="168" fontId="18" fillId="2" borderId="13" xfId="0" applyNumberFormat="1" applyFont="1" applyFill="1" applyBorder="1" applyAlignment="1">
      <alignment vertical="center"/>
    </xf>
    <xf numFmtId="168" fontId="20" fillId="2" borderId="3" xfId="0" applyNumberFormat="1" applyFont="1" applyFill="1" applyBorder="1" applyAlignment="1">
      <alignment vertical="center"/>
    </xf>
    <xf numFmtId="168" fontId="20" fillId="2" borderId="16" xfId="0" applyNumberFormat="1" applyFont="1" applyFill="1" applyBorder="1" applyAlignment="1">
      <alignment vertical="center"/>
    </xf>
    <xf numFmtId="168" fontId="18" fillId="0" borderId="166" xfId="0" applyNumberFormat="1" applyFont="1" applyBorder="1" applyAlignment="1">
      <alignment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168" fontId="14" fillId="6" borderId="13" xfId="0" applyNumberFormat="1" applyFont="1" applyFill="1" applyBorder="1" applyAlignment="1">
      <alignment vertical="center"/>
    </xf>
    <xf numFmtId="9" fontId="15" fillId="2" borderId="1" xfId="1" applyFont="1" applyFill="1" applyBorder="1" applyAlignment="1">
      <alignment horizontal="right" vertical="center" wrapText="1"/>
    </xf>
    <xf numFmtId="9" fontId="15" fillId="2" borderId="14" xfId="1" applyFont="1" applyFill="1" applyBorder="1" applyAlignment="1">
      <alignment horizontal="right" vertical="center" wrapText="1"/>
    </xf>
    <xf numFmtId="164" fontId="18" fillId="0" borderId="0" xfId="3" applyFont="1" applyFill="1"/>
    <xf numFmtId="9" fontId="43" fillId="7" borderId="75" xfId="1" applyFont="1" applyFill="1" applyBorder="1" applyAlignment="1">
      <alignment horizontal="center" vertical="center" wrapText="1"/>
    </xf>
    <xf numFmtId="9" fontId="43" fillId="7" borderId="84" xfId="1" applyFont="1" applyFill="1" applyBorder="1" applyAlignment="1">
      <alignment horizontal="center" vertical="center" wrapText="1"/>
    </xf>
    <xf numFmtId="9" fontId="43" fillId="7" borderId="150" xfId="1" applyFont="1" applyFill="1" applyBorder="1" applyAlignment="1">
      <alignment horizontal="center" vertical="center" wrapText="1"/>
    </xf>
    <xf numFmtId="0" fontId="43" fillId="7" borderId="22" xfId="0" applyFont="1" applyFill="1" applyBorder="1" applyAlignment="1">
      <alignment horizontal="center" vertical="center" wrapText="1"/>
    </xf>
    <xf numFmtId="0" fontId="43" fillId="7" borderId="23" xfId="0" applyFont="1" applyFill="1" applyBorder="1" applyAlignment="1">
      <alignment horizontal="center" vertical="center" wrapText="1"/>
    </xf>
    <xf numFmtId="0" fontId="43" fillId="7" borderId="21" xfId="0" applyFont="1" applyFill="1" applyBorder="1" applyAlignment="1">
      <alignment horizontal="center" vertical="center" wrapText="1"/>
    </xf>
    <xf numFmtId="0" fontId="43" fillId="7" borderId="20" xfId="0" applyFont="1" applyFill="1" applyBorder="1" applyAlignment="1">
      <alignment horizontal="center" vertical="center" wrapText="1"/>
    </xf>
    <xf numFmtId="0" fontId="13" fillId="7" borderId="22" xfId="0" applyFont="1" applyFill="1" applyBorder="1" applyAlignment="1">
      <alignment horizontal="center"/>
    </xf>
    <xf numFmtId="0" fontId="13" fillId="7" borderId="12" xfId="0" applyFont="1" applyFill="1" applyBorder="1" applyAlignment="1">
      <alignment horizontal="center"/>
    </xf>
    <xf numFmtId="0" fontId="13" fillId="7" borderId="23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0" fillId="7" borderId="31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23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10" fillId="7" borderId="22" xfId="0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0" fontId="11" fillId="0" borderId="4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47" xfId="0" applyFont="1" applyBorder="1" applyAlignment="1">
      <alignment horizontal="center"/>
    </xf>
    <xf numFmtId="0" fontId="11" fillId="0" borderId="5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0" fillId="7" borderId="22" xfId="0" applyFont="1" applyFill="1" applyBorder="1" applyAlignment="1">
      <alignment horizontal="center" shrinkToFit="1"/>
    </xf>
    <xf numFmtId="0" fontId="10" fillId="7" borderId="23" xfId="0" applyFont="1" applyFill="1" applyBorder="1" applyAlignment="1">
      <alignment horizontal="center" shrinkToFit="1"/>
    </xf>
    <xf numFmtId="0" fontId="12" fillId="0" borderId="48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/>
    </xf>
    <xf numFmtId="0" fontId="13" fillId="7" borderId="154" xfId="0" applyFont="1" applyFill="1" applyBorder="1" applyAlignment="1">
      <alignment horizontal="center" vertical="center"/>
    </xf>
    <xf numFmtId="0" fontId="13" fillId="7" borderId="155" xfId="0" applyFont="1" applyFill="1" applyBorder="1" applyAlignment="1">
      <alignment horizontal="center" vertical="center"/>
    </xf>
    <xf numFmtId="0" fontId="13" fillId="7" borderId="156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34" fillId="0" borderId="49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52" xfId="0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4" fillId="0" borderId="47" xfId="0" applyFont="1" applyFill="1" applyBorder="1" applyAlignment="1">
      <alignment horizontal="center" vertical="center"/>
    </xf>
    <xf numFmtId="0" fontId="34" fillId="0" borderId="60" xfId="0" applyFont="1" applyFill="1" applyBorder="1" applyAlignment="1">
      <alignment horizontal="center" vertical="center"/>
    </xf>
    <xf numFmtId="0" fontId="35" fillId="0" borderId="66" xfId="0" applyFont="1" applyBorder="1" applyAlignment="1">
      <alignment horizontal="center" vertical="center"/>
    </xf>
    <xf numFmtId="0" fontId="35" fillId="0" borderId="67" xfId="0" applyFont="1" applyBorder="1" applyAlignment="1">
      <alignment horizontal="center" vertical="center"/>
    </xf>
    <xf numFmtId="0" fontId="35" fillId="0" borderId="68" xfId="0" applyFont="1" applyBorder="1" applyAlignment="1">
      <alignment horizontal="center" vertical="center"/>
    </xf>
    <xf numFmtId="0" fontId="10" fillId="7" borderId="12" xfId="0" applyFont="1" applyFill="1" applyBorder="1" applyAlignment="1">
      <alignment horizontal="right" vertical="center" wrapText="1"/>
    </xf>
    <xf numFmtId="0" fontId="10" fillId="7" borderId="2" xfId="0" applyFont="1" applyFill="1" applyBorder="1" applyAlignment="1">
      <alignment horizontal="right" vertical="center" wrapText="1"/>
    </xf>
    <xf numFmtId="0" fontId="10" fillId="7" borderId="2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168" fontId="39" fillId="7" borderId="23" xfId="0" applyNumberFormat="1" applyFont="1" applyFill="1" applyBorder="1" applyAlignment="1">
      <alignment horizontal="center" vertical="center"/>
    </xf>
    <xf numFmtId="168" fontId="39" fillId="7" borderId="20" xfId="0" applyNumberFormat="1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right" vertical="center"/>
    </xf>
    <xf numFmtId="0" fontId="23" fillId="7" borderId="12" xfId="0" applyFont="1" applyFill="1" applyBorder="1" applyAlignment="1">
      <alignment horizontal="right" vertical="center"/>
    </xf>
    <xf numFmtId="0" fontId="12" fillId="6" borderId="2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right" vertical="center"/>
    </xf>
    <xf numFmtId="0" fontId="15" fillId="5" borderId="2" xfId="0" applyFont="1" applyFill="1" applyBorder="1" applyAlignment="1">
      <alignment horizontal="right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3" fillId="7" borderId="12" xfId="0" applyFont="1" applyFill="1" applyBorder="1" applyAlignment="1">
      <alignment horizontal="right" vertical="center" wrapText="1"/>
    </xf>
    <xf numFmtId="0" fontId="11" fillId="0" borderId="66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45" fillId="2" borderId="1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50" fillId="0" borderId="2" xfId="0" applyFont="1" applyFill="1" applyBorder="1" applyAlignment="1">
      <alignment horizontal="left" vertical="center" wrapText="1"/>
    </xf>
    <xf numFmtId="0" fontId="11" fillId="0" borderId="21" xfId="0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right" vertical="center" wrapText="1"/>
    </xf>
    <xf numFmtId="0" fontId="11" fillId="0" borderId="24" xfId="0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right" vertical="center"/>
    </xf>
    <xf numFmtId="0" fontId="26" fillId="0" borderId="2" xfId="0" applyFont="1" applyFill="1" applyBorder="1" applyAlignment="1">
      <alignment horizontal="right" vertical="center"/>
    </xf>
    <xf numFmtId="0" fontId="26" fillId="0" borderId="15" xfId="0" applyFont="1" applyFill="1" applyBorder="1" applyAlignment="1">
      <alignment horizontal="right" vertical="center" shrinkToFit="1"/>
    </xf>
    <xf numFmtId="0" fontId="10" fillId="7" borderId="8" xfId="0" applyFont="1" applyFill="1" applyBorder="1" applyAlignment="1">
      <alignment horizontal="left" vertical="center" wrapText="1"/>
    </xf>
    <xf numFmtId="0" fontId="50" fillId="0" borderId="15" xfId="0" applyFont="1" applyFill="1" applyBorder="1" applyAlignment="1">
      <alignment horizontal="left" vertical="center" shrinkToFit="1"/>
    </xf>
    <xf numFmtId="0" fontId="10" fillId="7" borderId="12" xfId="0" applyFont="1" applyFill="1" applyBorder="1" applyAlignment="1">
      <alignment horizontal="left" vertical="center" wrapText="1"/>
    </xf>
    <xf numFmtId="0" fontId="26" fillId="0" borderId="17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left" vertical="center" wrapText="1"/>
    </xf>
    <xf numFmtId="0" fontId="46" fillId="0" borderId="22" xfId="0" applyFont="1" applyFill="1" applyBorder="1" applyAlignment="1">
      <alignment horizontal="left" vertical="center"/>
    </xf>
    <xf numFmtId="0" fontId="46" fillId="0" borderId="12" xfId="0" applyFont="1" applyFill="1" applyBorder="1" applyAlignment="1">
      <alignment horizontal="left" vertical="center"/>
    </xf>
    <xf numFmtId="0" fontId="46" fillId="0" borderId="21" xfId="0" applyFont="1" applyFill="1" applyBorder="1" applyAlignment="1">
      <alignment horizontal="left" vertical="center" shrinkToFit="1"/>
    </xf>
    <xf numFmtId="0" fontId="46" fillId="0" borderId="2" xfId="0" applyFont="1" applyFill="1" applyBorder="1" applyAlignment="1">
      <alignment horizontal="left" vertical="center" shrinkToFit="1"/>
    </xf>
    <xf numFmtId="0" fontId="43" fillId="7" borderId="24" xfId="0" applyFont="1" applyFill="1" applyBorder="1" applyAlignment="1">
      <alignment horizontal="left" vertical="center" wrapText="1"/>
    </xf>
    <xf numFmtId="0" fontId="43" fillId="7" borderId="15" xfId="0" applyFont="1" applyFill="1" applyBorder="1" applyAlignment="1">
      <alignment horizontal="left" vertical="center" wrapText="1"/>
    </xf>
    <xf numFmtId="0" fontId="50" fillId="0" borderId="2" xfId="0" applyFont="1" applyFill="1" applyBorder="1" applyAlignment="1">
      <alignment horizontal="left" vertical="center"/>
    </xf>
    <xf numFmtId="0" fontId="50" fillId="0" borderId="5" xfId="0" applyFont="1" applyFill="1" applyBorder="1" applyAlignment="1">
      <alignment horizontal="left" shrinkToFit="1"/>
    </xf>
    <xf numFmtId="0" fontId="11" fillId="0" borderId="4" xfId="0" applyFont="1" applyFill="1" applyBorder="1" applyAlignment="1">
      <alignment horizontal="right"/>
    </xf>
    <xf numFmtId="0" fontId="11" fillId="0" borderId="5" xfId="0" applyFont="1" applyFill="1" applyBorder="1" applyAlignment="1">
      <alignment horizontal="right"/>
    </xf>
    <xf numFmtId="168" fontId="11" fillId="0" borderId="3" xfId="0" applyNumberFormat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right"/>
    </xf>
    <xf numFmtId="0" fontId="15" fillId="0" borderId="92" xfId="0" applyFont="1" applyFill="1" applyBorder="1" applyAlignment="1">
      <alignment horizontal="right" vertical="center" wrapText="1"/>
    </xf>
    <xf numFmtId="0" fontId="15" fillId="0" borderId="117" xfId="0" applyFont="1" applyFill="1" applyBorder="1" applyAlignment="1">
      <alignment horizontal="right" vertical="center" wrapText="1"/>
    </xf>
    <xf numFmtId="0" fontId="15" fillId="0" borderId="96" xfId="0" applyFont="1" applyFill="1" applyBorder="1" applyAlignment="1">
      <alignment horizontal="right" vertical="center" wrapText="1"/>
    </xf>
    <xf numFmtId="0" fontId="15" fillId="0" borderId="165" xfId="0" applyFont="1" applyFill="1" applyBorder="1" applyAlignment="1">
      <alignment horizontal="right" vertical="center" wrapText="1"/>
    </xf>
    <xf numFmtId="0" fontId="15" fillId="0" borderId="138" xfId="0" applyFont="1" applyFill="1" applyBorder="1" applyAlignment="1">
      <alignment horizontal="right" vertical="center" wrapText="1"/>
    </xf>
    <xf numFmtId="0" fontId="15" fillId="0" borderId="141" xfId="0" applyFont="1" applyFill="1" applyBorder="1" applyAlignment="1">
      <alignment horizontal="right" vertical="center" wrapText="1"/>
    </xf>
    <xf numFmtId="168" fontId="11" fillId="0" borderId="78" xfId="3" applyNumberFormat="1" applyFont="1" applyBorder="1" applyAlignment="1">
      <alignment horizontal="right" vertical="center"/>
    </xf>
    <xf numFmtId="168" fontId="11" fillId="0" borderId="19" xfId="3" applyNumberFormat="1" applyFont="1" applyBorder="1" applyAlignment="1">
      <alignment horizontal="right" vertical="center"/>
    </xf>
    <xf numFmtId="168" fontId="11" fillId="0" borderId="166" xfId="3" applyNumberFormat="1" applyFont="1" applyBorder="1" applyAlignment="1">
      <alignment horizontal="right" vertical="center"/>
    </xf>
    <xf numFmtId="0" fontId="15" fillId="0" borderId="1" xfId="0" applyFont="1" applyFill="1" applyBorder="1" applyAlignment="1">
      <alignment horizontal="right" vertical="center" wrapText="1"/>
    </xf>
    <xf numFmtId="0" fontId="15" fillId="0" borderId="2" xfId="0" applyFont="1" applyFill="1" applyBorder="1" applyAlignment="1">
      <alignment horizontal="right" vertical="center" wrapText="1"/>
    </xf>
    <xf numFmtId="0" fontId="2" fillId="6" borderId="21" xfId="0" applyFont="1" applyFill="1" applyBorder="1" applyAlignment="1">
      <alignment horizontal="center" vertical="center"/>
    </xf>
    <xf numFmtId="0" fontId="15" fillId="0" borderId="79" xfId="0" applyFont="1" applyFill="1" applyBorder="1" applyAlignment="1">
      <alignment horizontal="right" vertical="center" wrapText="1"/>
    </xf>
    <xf numFmtId="0" fontId="15" fillId="0" borderId="10" xfId="0" applyFont="1" applyFill="1" applyBorder="1" applyAlignment="1">
      <alignment horizontal="right" vertical="center" wrapText="1"/>
    </xf>
    <xf numFmtId="168" fontId="11" fillId="0" borderId="80" xfId="0" applyNumberFormat="1" applyFont="1" applyBorder="1" applyAlignment="1">
      <alignment horizontal="right" vertical="center"/>
    </xf>
    <xf numFmtId="0" fontId="21" fillId="7" borderId="21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21" fillId="7" borderId="20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7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right" vertical="center" wrapText="1"/>
    </xf>
    <xf numFmtId="0" fontId="11" fillId="5" borderId="2" xfId="0" applyFont="1" applyFill="1" applyBorder="1" applyAlignment="1">
      <alignment horizontal="right" vertical="center" wrapText="1"/>
    </xf>
    <xf numFmtId="0" fontId="25" fillId="0" borderId="1" xfId="0" applyFont="1" applyBorder="1" applyAlignment="1">
      <alignment horizontal="right" wrapText="1"/>
    </xf>
    <xf numFmtId="0" fontId="25" fillId="0" borderId="2" xfId="0" applyFont="1" applyBorder="1" applyAlignment="1">
      <alignment horizontal="right" wrapText="1"/>
    </xf>
    <xf numFmtId="0" fontId="11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0" fillId="7" borderId="71" xfId="0" applyFont="1" applyFill="1" applyBorder="1" applyAlignment="1">
      <alignment horizontal="center"/>
    </xf>
    <xf numFmtId="0" fontId="10" fillId="7" borderId="72" xfId="0" applyFont="1" applyFill="1" applyBorder="1" applyAlignment="1">
      <alignment horizontal="center"/>
    </xf>
    <xf numFmtId="0" fontId="10" fillId="7" borderId="73" xfId="0" applyFont="1" applyFill="1" applyBorder="1" applyAlignment="1">
      <alignment horizontal="center"/>
    </xf>
    <xf numFmtId="0" fontId="10" fillId="7" borderId="149" xfId="0" applyFont="1" applyFill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1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3" fillId="7" borderId="133" xfId="0" applyFont="1" applyFill="1" applyBorder="1" applyAlignment="1">
      <alignment horizontal="center" vertical="center" shrinkToFit="1"/>
    </xf>
    <xf numFmtId="0" fontId="13" fillId="7" borderId="134" xfId="0" applyFont="1" applyFill="1" applyBorder="1" applyAlignment="1">
      <alignment horizontal="center" vertical="center" shrinkToFit="1"/>
    </xf>
    <xf numFmtId="0" fontId="13" fillId="7" borderId="37" xfId="0" applyFont="1" applyFill="1" applyBorder="1" applyAlignment="1">
      <alignment horizontal="center" vertical="center"/>
    </xf>
    <xf numFmtId="0" fontId="13" fillId="7" borderId="38" xfId="0" applyFont="1" applyFill="1" applyBorder="1" applyAlignment="1">
      <alignment horizontal="center" vertical="center"/>
    </xf>
    <xf numFmtId="0" fontId="13" fillId="7" borderId="39" xfId="0" applyFont="1" applyFill="1" applyBorder="1" applyAlignment="1">
      <alignment horizontal="center" vertical="center"/>
    </xf>
    <xf numFmtId="0" fontId="13" fillId="7" borderId="40" xfId="0" applyFont="1" applyFill="1" applyBorder="1" applyAlignment="1">
      <alignment horizontal="center" vertical="center"/>
    </xf>
    <xf numFmtId="0" fontId="13" fillId="7" borderId="71" xfId="0" applyFont="1" applyFill="1" applyBorder="1" applyAlignment="1">
      <alignment horizontal="center" vertical="center"/>
    </xf>
    <xf numFmtId="0" fontId="13" fillId="7" borderId="72" xfId="0" applyFont="1" applyFill="1" applyBorder="1" applyAlignment="1">
      <alignment horizontal="center" vertical="center"/>
    </xf>
    <xf numFmtId="0" fontId="13" fillId="7" borderId="73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167" fontId="14" fillId="6" borderId="1" xfId="0" applyNumberFormat="1" applyFont="1" applyFill="1" applyBorder="1" applyAlignment="1">
      <alignment horizontal="center" vertical="center"/>
    </xf>
    <xf numFmtId="167" fontId="14" fillId="6" borderId="3" xfId="0" applyNumberFormat="1" applyFont="1" applyFill="1" applyBorder="1" applyAlignment="1">
      <alignment horizontal="center" vertical="center"/>
    </xf>
    <xf numFmtId="167" fontId="14" fillId="6" borderId="32" xfId="0" applyNumberFormat="1" applyFont="1" applyFill="1" applyBorder="1" applyAlignment="1">
      <alignment horizontal="center" vertical="center"/>
    </xf>
    <xf numFmtId="0" fontId="11" fillId="0" borderId="63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2" borderId="92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4" fillId="6" borderId="92" xfId="0" applyFont="1" applyFill="1" applyBorder="1" applyAlignment="1">
      <alignment horizontal="center" vertical="center"/>
    </xf>
    <xf numFmtId="0" fontId="14" fillId="6" borderId="95" xfId="0" applyFont="1" applyFill="1" applyBorder="1" applyAlignment="1">
      <alignment horizontal="center" vertical="center"/>
    </xf>
    <xf numFmtId="0" fontId="11" fillId="0" borderId="113" xfId="0" applyFont="1" applyBorder="1" applyAlignment="1">
      <alignment horizontal="center" vertical="center" wrapText="1"/>
    </xf>
    <xf numFmtId="0" fontId="11" fillId="0" borderId="114" xfId="0" applyFont="1" applyBorder="1" applyAlignment="1">
      <alignment horizontal="center" vertical="center" wrapText="1"/>
    </xf>
    <xf numFmtId="187" fontId="11" fillId="0" borderId="23" xfId="0" applyNumberFormat="1" applyFont="1" applyFill="1" applyBorder="1" applyAlignment="1">
      <alignment horizontal="center" vertical="center"/>
    </xf>
    <xf numFmtId="187" fontId="11" fillId="0" borderId="25" xfId="0" applyNumberFormat="1" applyFont="1" applyFill="1" applyBorder="1" applyAlignment="1">
      <alignment horizontal="center" vertical="center"/>
    </xf>
    <xf numFmtId="183" fontId="11" fillId="2" borderId="10" xfId="0" applyNumberFormat="1" applyFont="1" applyFill="1" applyBorder="1" applyAlignment="1">
      <alignment horizontal="center" vertical="center"/>
    </xf>
    <xf numFmtId="183" fontId="11" fillId="2" borderId="53" xfId="0" applyNumberFormat="1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 shrinkToFit="1"/>
    </xf>
    <xf numFmtId="0" fontId="13" fillId="7" borderId="12" xfId="0" applyFont="1" applyFill="1" applyBorder="1" applyAlignment="1">
      <alignment horizontal="center" vertical="center" shrinkToFit="1"/>
    </xf>
    <xf numFmtId="0" fontId="13" fillId="7" borderId="23" xfId="0" applyFont="1" applyFill="1" applyBorder="1" applyAlignment="1">
      <alignment horizontal="center" vertical="center" shrinkToFit="1"/>
    </xf>
    <xf numFmtId="187" fontId="11" fillId="2" borderId="52" xfId="0" applyNumberFormat="1" applyFont="1" applyFill="1" applyBorder="1" applyAlignment="1">
      <alignment horizontal="center" vertical="center"/>
    </xf>
    <xf numFmtId="187" fontId="11" fillId="2" borderId="50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186" fontId="11" fillId="0" borderId="12" xfId="0" applyNumberFormat="1" applyFont="1" applyFill="1" applyBorder="1" applyAlignment="1">
      <alignment horizontal="center" vertical="center"/>
    </xf>
    <xf numFmtId="186" fontId="11" fillId="0" borderId="15" xfId="0" applyNumberFormat="1" applyFont="1" applyFill="1" applyBorder="1" applyAlignment="1">
      <alignment horizontal="center" vertical="center"/>
    </xf>
    <xf numFmtId="186" fontId="11" fillId="2" borderId="10" xfId="0" applyNumberFormat="1" applyFont="1" applyFill="1" applyBorder="1" applyAlignment="1">
      <alignment horizontal="center" vertical="center"/>
    </xf>
    <xf numFmtId="186" fontId="11" fillId="2" borderId="53" xfId="0" applyNumberFormat="1" applyFont="1" applyFill="1" applyBorder="1" applyAlignment="1">
      <alignment horizontal="center" vertical="center"/>
    </xf>
    <xf numFmtId="168" fontId="11" fillId="0" borderId="12" xfId="0" applyNumberFormat="1" applyFont="1" applyFill="1" applyBorder="1" applyAlignment="1">
      <alignment horizontal="right" vertical="center"/>
    </xf>
    <xf numFmtId="168" fontId="11" fillId="0" borderId="15" xfId="0" applyNumberFormat="1" applyFont="1" applyFill="1" applyBorder="1" applyAlignment="1">
      <alignment horizontal="right" vertical="center"/>
    </xf>
    <xf numFmtId="168" fontId="11" fillId="2" borderId="10" xfId="0" applyNumberFormat="1" applyFont="1" applyFill="1" applyBorder="1" applyAlignment="1">
      <alignment horizontal="right" vertical="center"/>
    </xf>
    <xf numFmtId="168" fontId="11" fillId="2" borderId="53" xfId="0" applyNumberFormat="1" applyFont="1" applyFill="1" applyBorder="1" applyAlignment="1">
      <alignment horizontal="right" vertical="center"/>
    </xf>
    <xf numFmtId="9" fontId="12" fillId="0" borderId="12" xfId="1" applyFont="1" applyFill="1" applyBorder="1" applyAlignment="1">
      <alignment horizontal="center" vertical="center"/>
    </xf>
    <xf numFmtId="9" fontId="12" fillId="0" borderId="15" xfId="1" applyFont="1" applyFill="1" applyBorder="1" applyAlignment="1">
      <alignment horizontal="center" vertical="center"/>
    </xf>
    <xf numFmtId="9" fontId="12" fillId="2" borderId="10" xfId="1" applyFont="1" applyFill="1" applyBorder="1" applyAlignment="1">
      <alignment horizontal="center" vertical="center"/>
    </xf>
    <xf numFmtId="9" fontId="12" fillId="2" borderId="53" xfId="1" applyFont="1" applyFill="1" applyBorder="1" applyAlignment="1">
      <alignment horizontal="center" vertical="center"/>
    </xf>
    <xf numFmtId="183" fontId="11" fillId="0" borderId="12" xfId="0" applyNumberFormat="1" applyFont="1" applyFill="1" applyBorder="1" applyAlignment="1">
      <alignment horizontal="center" vertical="center"/>
    </xf>
    <xf numFmtId="183" fontId="11" fillId="0" borderId="15" xfId="0" applyNumberFormat="1" applyFont="1" applyFill="1" applyBorder="1" applyAlignment="1">
      <alignment horizontal="center" vertical="center"/>
    </xf>
    <xf numFmtId="167" fontId="22" fillId="0" borderId="1" xfId="0" applyNumberFormat="1" applyFont="1" applyBorder="1" applyAlignment="1">
      <alignment horizontal="right" vertical="center" wrapText="1"/>
    </xf>
    <xf numFmtId="167" fontId="22" fillId="0" borderId="2" xfId="0" applyNumberFormat="1" applyFont="1" applyBorder="1" applyAlignment="1">
      <alignment horizontal="right" vertical="center" wrapText="1"/>
    </xf>
    <xf numFmtId="167" fontId="28" fillId="0" borderId="1" xfId="0" applyNumberFormat="1" applyFont="1" applyFill="1" applyBorder="1" applyAlignment="1">
      <alignment horizontal="right" vertical="center" wrapText="1"/>
    </xf>
    <xf numFmtId="167" fontId="28" fillId="0" borderId="2" xfId="0" applyNumberFormat="1" applyFont="1" applyFill="1" applyBorder="1" applyAlignment="1">
      <alignment horizontal="right" vertical="center" wrapText="1"/>
    </xf>
    <xf numFmtId="167" fontId="22" fillId="0" borderId="77" xfId="0" applyNumberFormat="1" applyFont="1" applyBorder="1" applyAlignment="1">
      <alignment horizontal="right" vertical="center"/>
    </xf>
    <xf numFmtId="167" fontId="22" fillId="0" borderId="53" xfId="0" applyNumberFormat="1" applyFont="1" applyBorder="1" applyAlignment="1">
      <alignment horizontal="right" vertical="center"/>
    </xf>
    <xf numFmtId="167" fontId="5" fillId="0" borderId="0" xfId="0" applyNumberFormat="1" applyFont="1" applyAlignment="1">
      <alignment horizontal="left"/>
    </xf>
    <xf numFmtId="167" fontId="22" fillId="0" borderId="11" xfId="0" applyNumberFormat="1" applyFont="1" applyBorder="1" applyAlignment="1">
      <alignment horizontal="right" vertical="center"/>
    </xf>
    <xf numFmtId="167" fontId="22" fillId="0" borderId="12" xfId="0" applyNumberFormat="1" applyFont="1" applyBorder="1" applyAlignment="1">
      <alignment horizontal="right" vertical="center"/>
    </xf>
    <xf numFmtId="167" fontId="22" fillId="0" borderId="1" xfId="0" applyNumberFormat="1" applyFont="1" applyBorder="1" applyAlignment="1">
      <alignment horizontal="right" vertical="center"/>
    </xf>
    <xf numFmtId="167" fontId="22" fillId="0" borderId="2" xfId="0" applyNumberFormat="1" applyFont="1" applyBorder="1" applyAlignment="1">
      <alignment horizontal="right" vertical="center"/>
    </xf>
    <xf numFmtId="167" fontId="22" fillId="0" borderId="4" xfId="0" applyNumberFormat="1" applyFont="1" applyBorder="1" applyAlignment="1">
      <alignment horizontal="right" vertical="center"/>
    </xf>
    <xf numFmtId="167" fontId="22" fillId="0" borderId="5" xfId="0" applyNumberFormat="1" applyFont="1" applyBorder="1" applyAlignment="1">
      <alignment horizontal="right" vertical="center"/>
    </xf>
    <xf numFmtId="167" fontId="10" fillId="7" borderId="71" xfId="0" applyNumberFormat="1" applyFont="1" applyFill="1" applyBorder="1" applyAlignment="1">
      <alignment horizontal="center" vertical="center" wrapText="1"/>
    </xf>
    <xf numFmtId="167" fontId="10" fillId="7" borderId="72" xfId="0" applyNumberFormat="1" applyFont="1" applyFill="1" applyBorder="1" applyAlignment="1">
      <alignment horizontal="center" vertical="center" wrapText="1"/>
    </xf>
    <xf numFmtId="167" fontId="10" fillId="7" borderId="149" xfId="0" applyNumberFormat="1" applyFont="1" applyFill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right" vertical="center"/>
    </xf>
    <xf numFmtId="167" fontId="11" fillId="0" borderId="2" xfId="0" applyNumberFormat="1" applyFont="1" applyBorder="1" applyAlignment="1">
      <alignment horizontal="right" vertical="center"/>
    </xf>
    <xf numFmtId="167" fontId="11" fillId="0" borderId="14" xfId="0" applyNumberFormat="1" applyFont="1" applyBorder="1" applyAlignment="1">
      <alignment horizontal="right" vertical="center"/>
    </xf>
    <xf numFmtId="167" fontId="11" fillId="0" borderId="15" xfId="0" applyNumberFormat="1" applyFont="1" applyBorder="1" applyAlignment="1">
      <alignment horizontal="right" vertical="center"/>
    </xf>
    <xf numFmtId="167" fontId="12" fillId="6" borderId="11" xfId="0" applyNumberFormat="1" applyFont="1" applyFill="1" applyBorder="1" applyAlignment="1">
      <alignment horizontal="center" vertical="center" wrapText="1"/>
    </xf>
    <xf numFmtId="167" fontId="12" fillId="6" borderId="12" xfId="0" applyNumberFormat="1" applyFont="1" applyFill="1" applyBorder="1" applyAlignment="1">
      <alignment horizontal="center" vertical="center" wrapText="1"/>
    </xf>
    <xf numFmtId="167" fontId="29" fillId="6" borderId="1" xfId="0" applyNumberFormat="1" applyFont="1" applyFill="1" applyBorder="1" applyAlignment="1">
      <alignment horizontal="right" vertical="center"/>
    </xf>
    <xf numFmtId="167" fontId="29" fillId="6" borderId="2" xfId="0" applyNumberFormat="1" applyFont="1" applyFill="1" applyBorder="1" applyAlignment="1">
      <alignment horizontal="right" vertical="center"/>
    </xf>
    <xf numFmtId="167" fontId="28" fillId="0" borderId="4" xfId="0" applyNumberFormat="1" applyFont="1" applyFill="1" applyBorder="1" applyAlignment="1">
      <alignment horizontal="right" vertical="center" wrapText="1"/>
    </xf>
    <xf numFmtId="167" fontId="28" fillId="0" borderId="5" xfId="0" applyNumberFormat="1" applyFont="1" applyFill="1" applyBorder="1" applyAlignment="1">
      <alignment horizontal="right" vertical="center" wrapText="1"/>
    </xf>
    <xf numFmtId="167" fontId="12" fillId="6" borderId="1" xfId="0" applyNumberFormat="1" applyFont="1" applyFill="1" applyBorder="1" applyAlignment="1">
      <alignment horizontal="right" vertical="center" wrapText="1"/>
    </xf>
    <xf numFmtId="167" fontId="12" fillId="6" borderId="2" xfId="0" applyNumberFormat="1" applyFont="1" applyFill="1" applyBorder="1" applyAlignment="1">
      <alignment horizontal="right" vertical="center" wrapText="1"/>
    </xf>
    <xf numFmtId="167" fontId="5" fillId="0" borderId="0" xfId="0" applyNumberFormat="1" applyFont="1" applyBorder="1" applyAlignment="1">
      <alignment horizontal="left"/>
    </xf>
    <xf numFmtId="167" fontId="13" fillId="7" borderId="71" xfId="0" applyNumberFormat="1" applyFont="1" applyFill="1" applyBorder="1" applyAlignment="1">
      <alignment horizontal="center" vertical="center"/>
    </xf>
    <xf numFmtId="167" fontId="13" fillId="7" borderId="72" xfId="0" applyNumberFormat="1" applyFont="1" applyFill="1" applyBorder="1" applyAlignment="1">
      <alignment horizontal="center" vertical="center"/>
    </xf>
    <xf numFmtId="167" fontId="13" fillId="7" borderId="73" xfId="0" applyNumberFormat="1" applyFont="1" applyFill="1" applyBorder="1" applyAlignment="1">
      <alignment horizontal="center" vertical="center"/>
    </xf>
    <xf numFmtId="167" fontId="11" fillId="2" borderId="63" xfId="0" applyNumberFormat="1" applyFont="1" applyFill="1" applyBorder="1" applyAlignment="1">
      <alignment horizontal="right" vertical="center" wrapText="1"/>
    </xf>
    <xf numFmtId="167" fontId="11" fillId="2" borderId="32" xfId="0" applyNumberFormat="1" applyFont="1" applyFill="1" applyBorder="1" applyAlignment="1">
      <alignment horizontal="right" vertical="center" wrapText="1"/>
    </xf>
    <xf numFmtId="167" fontId="11" fillId="7" borderId="63" xfId="0" applyNumberFormat="1" applyFont="1" applyFill="1" applyBorder="1" applyAlignment="1">
      <alignment horizontal="center" vertical="center" wrapText="1"/>
    </xf>
    <xf numFmtId="167" fontId="11" fillId="7" borderId="45" xfId="0" applyNumberFormat="1" applyFont="1" applyFill="1" applyBorder="1" applyAlignment="1">
      <alignment horizontal="center" vertical="center" wrapText="1"/>
    </xf>
    <xf numFmtId="167" fontId="11" fillId="7" borderId="64" xfId="0" applyNumberFormat="1" applyFont="1" applyFill="1" applyBorder="1" applyAlignment="1">
      <alignment horizontal="center" vertical="center" wrapText="1"/>
    </xf>
    <xf numFmtId="167" fontId="12" fillId="7" borderId="63" xfId="0" applyNumberFormat="1" applyFont="1" applyFill="1" applyBorder="1" applyAlignment="1">
      <alignment horizontal="center" vertical="center" wrapText="1"/>
    </xf>
    <xf numFmtId="167" fontId="12" fillId="7" borderId="45" xfId="0" applyNumberFormat="1" applyFont="1" applyFill="1" applyBorder="1" applyAlignment="1">
      <alignment horizontal="center" vertical="center" wrapText="1"/>
    </xf>
    <xf numFmtId="167" fontId="12" fillId="7" borderId="64" xfId="0" applyNumberFormat="1" applyFont="1" applyFill="1" applyBorder="1" applyAlignment="1">
      <alignment horizontal="center" vertical="center" wrapText="1"/>
    </xf>
    <xf numFmtId="0" fontId="12" fillId="6" borderId="47" xfId="0" applyFont="1" applyFill="1" applyBorder="1" applyAlignment="1">
      <alignment horizontal="center" vertical="center" wrapText="1"/>
    </xf>
    <xf numFmtId="0" fontId="12" fillId="6" borderId="53" xfId="0" applyFont="1" applyFill="1" applyBorder="1" applyAlignment="1">
      <alignment horizontal="center" vertical="center" wrapText="1"/>
    </xf>
    <xf numFmtId="0" fontId="38" fillId="7" borderId="71" xfId="0" applyFont="1" applyFill="1" applyBorder="1" applyAlignment="1">
      <alignment horizontal="center" vertical="center" shrinkToFit="1"/>
    </xf>
    <xf numFmtId="0" fontId="38" fillId="7" borderId="72" xfId="0" applyFont="1" applyFill="1" applyBorder="1" applyAlignment="1">
      <alignment horizontal="center" vertical="center" shrinkToFit="1"/>
    </xf>
    <xf numFmtId="0" fontId="38" fillId="7" borderId="73" xfId="0" applyFont="1" applyFill="1" applyBorder="1" applyAlignment="1">
      <alignment horizontal="center" vertical="center" shrinkToFit="1"/>
    </xf>
    <xf numFmtId="0" fontId="13" fillId="7" borderId="21" xfId="0" applyFont="1" applyFill="1" applyBorder="1" applyAlignment="1">
      <alignment horizontal="center"/>
    </xf>
    <xf numFmtId="0" fontId="13" fillId="7" borderId="20" xfId="0" applyFont="1" applyFill="1" applyBorder="1" applyAlignment="1">
      <alignment horizontal="center"/>
    </xf>
    <xf numFmtId="9" fontId="12" fillId="6" borderId="64" xfId="0" applyNumberFormat="1" applyFont="1" applyFill="1" applyBorder="1" applyAlignment="1">
      <alignment horizontal="center" vertical="center"/>
    </xf>
    <xf numFmtId="9" fontId="12" fillId="6" borderId="124" xfId="0" applyNumberFormat="1" applyFont="1" applyFill="1" applyBorder="1" applyAlignment="1">
      <alignment horizontal="center" vertical="center"/>
    </xf>
    <xf numFmtId="0" fontId="12" fillId="0" borderId="125" xfId="0" applyFont="1" applyFill="1" applyBorder="1" applyAlignment="1">
      <alignment horizontal="center" vertical="center"/>
    </xf>
    <xf numFmtId="0" fontId="12" fillId="0" borderId="84" xfId="0" applyFont="1" applyFill="1" applyBorder="1" applyAlignment="1">
      <alignment horizontal="center" vertical="center"/>
    </xf>
    <xf numFmtId="0" fontId="12" fillId="0" borderId="126" xfId="0" applyFont="1" applyFill="1" applyBorder="1" applyAlignment="1">
      <alignment horizontal="center" vertical="center"/>
    </xf>
    <xf numFmtId="0" fontId="12" fillId="6" borderId="122" xfId="0" applyFont="1" applyFill="1" applyBorder="1" applyAlignment="1">
      <alignment horizontal="right" vertical="center"/>
    </xf>
    <xf numFmtId="0" fontId="12" fillId="6" borderId="121" xfId="0" applyFont="1" applyFill="1" applyBorder="1" applyAlignment="1">
      <alignment horizontal="right" vertical="center"/>
    </xf>
    <xf numFmtId="0" fontId="12" fillId="6" borderId="17" xfId="0" applyFont="1" applyFill="1" applyBorder="1" applyAlignment="1">
      <alignment horizontal="right" vertical="center"/>
    </xf>
    <xf numFmtId="0" fontId="12" fillId="6" borderId="123" xfId="0" applyFont="1" applyFill="1" applyBorder="1" applyAlignment="1">
      <alignment horizontal="right" vertical="center"/>
    </xf>
    <xf numFmtId="0" fontId="13" fillId="7" borderId="133" xfId="0" applyFont="1" applyFill="1" applyBorder="1" applyAlignment="1">
      <alignment horizontal="center" vertical="center"/>
    </xf>
    <xf numFmtId="0" fontId="13" fillId="7" borderId="134" xfId="0" applyFont="1" applyFill="1" applyBorder="1" applyAlignment="1">
      <alignment horizontal="center" vertical="center"/>
    </xf>
    <xf numFmtId="0" fontId="13" fillId="7" borderId="13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81" xfId="0" applyFont="1" applyFill="1" applyBorder="1" applyAlignment="1">
      <alignment horizontal="center" vertical="center"/>
    </xf>
    <xf numFmtId="0" fontId="12" fillId="0" borderId="82" xfId="0" applyFont="1" applyFill="1" applyBorder="1" applyAlignment="1">
      <alignment horizontal="center" vertical="center"/>
    </xf>
    <xf numFmtId="0" fontId="12" fillId="0" borderId="83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right" vertical="center"/>
    </xf>
    <xf numFmtId="0" fontId="11" fillId="0" borderId="70" xfId="0" applyFont="1" applyFill="1" applyBorder="1" applyAlignment="1">
      <alignment horizontal="right" vertical="center"/>
    </xf>
    <xf numFmtId="0" fontId="12" fillId="0" borderId="111" xfId="0" applyFont="1" applyFill="1" applyBorder="1" applyAlignment="1">
      <alignment horizontal="center" vertical="center"/>
    </xf>
    <xf numFmtId="0" fontId="12" fillId="0" borderId="112" xfId="0" applyFont="1" applyFill="1" applyBorder="1" applyAlignment="1">
      <alignment horizontal="center" vertical="center"/>
    </xf>
    <xf numFmtId="0" fontId="13" fillId="7" borderId="54" xfId="0" applyFont="1" applyFill="1" applyBorder="1" applyAlignment="1">
      <alignment horizontal="center" vertical="center"/>
    </xf>
    <xf numFmtId="0" fontId="13" fillId="7" borderId="65" xfId="0" applyFont="1" applyFill="1" applyBorder="1" applyAlignment="1">
      <alignment horizontal="center" vertical="center"/>
    </xf>
    <xf numFmtId="0" fontId="13" fillId="7" borderId="55" xfId="0" applyFont="1" applyFill="1" applyBorder="1" applyAlignment="1">
      <alignment horizontal="center" vertical="center"/>
    </xf>
    <xf numFmtId="0" fontId="11" fillId="0" borderId="75" xfId="0" applyFont="1" applyFill="1" applyBorder="1" applyAlignment="1">
      <alignment horizontal="right" vertical="center"/>
    </xf>
    <xf numFmtId="0" fontId="11" fillId="0" borderId="76" xfId="0" applyFont="1" applyFill="1" applyBorder="1" applyAlignment="1">
      <alignment horizontal="right" vertical="center"/>
    </xf>
    <xf numFmtId="164" fontId="13" fillId="7" borderId="59" xfId="3" applyFont="1" applyFill="1" applyBorder="1" applyAlignment="1">
      <alignment horizontal="center"/>
    </xf>
    <xf numFmtId="164" fontId="13" fillId="7" borderId="36" xfId="3" applyFont="1" applyFill="1" applyBorder="1" applyAlignment="1">
      <alignment horizontal="center"/>
    </xf>
    <xf numFmtId="0" fontId="54" fillId="6" borderId="125" xfId="0" applyFont="1" applyFill="1" applyBorder="1" applyAlignment="1">
      <alignment horizontal="right" vertical="center" shrinkToFit="1"/>
    </xf>
    <xf numFmtId="0" fontId="54" fillId="6" borderId="138" xfId="0" applyFont="1" applyFill="1" applyBorder="1" applyAlignment="1">
      <alignment horizontal="right" vertical="center" shrinkToFit="1"/>
    </xf>
    <xf numFmtId="0" fontId="19" fillId="3" borderId="1" xfId="0" applyFont="1" applyFill="1" applyBorder="1" applyAlignment="1">
      <alignment horizontal="right" vertical="center" wrapText="1"/>
    </xf>
    <xf numFmtId="0" fontId="13" fillId="7" borderId="71" xfId="0" applyFont="1" applyFill="1" applyBorder="1" applyAlignment="1">
      <alignment horizontal="center"/>
    </xf>
    <xf numFmtId="0" fontId="13" fillId="7" borderId="72" xfId="0" applyFont="1" applyFill="1" applyBorder="1" applyAlignment="1">
      <alignment horizontal="center"/>
    </xf>
    <xf numFmtId="0" fontId="13" fillId="7" borderId="73" xfId="0" applyFont="1" applyFill="1" applyBorder="1" applyAlignment="1">
      <alignment horizontal="center"/>
    </xf>
    <xf numFmtId="0" fontId="36" fillId="0" borderId="105" xfId="0" applyFont="1" applyFill="1" applyBorder="1" applyAlignment="1">
      <alignment horizontal="left" vertical="center" wrapText="1"/>
    </xf>
    <xf numFmtId="0" fontId="36" fillId="0" borderId="106" xfId="0" applyFont="1" applyFill="1" applyBorder="1" applyAlignment="1">
      <alignment horizontal="left" vertical="center" wrapText="1"/>
    </xf>
    <xf numFmtId="0" fontId="19" fillId="0" borderId="128" xfId="0" applyFont="1" applyFill="1" applyBorder="1" applyAlignment="1">
      <alignment horizontal="left" vertical="center" wrapText="1"/>
    </xf>
    <xf numFmtId="0" fontId="19" fillId="0" borderId="92" xfId="0" applyFont="1" applyFill="1" applyBorder="1" applyAlignment="1">
      <alignment horizontal="left" vertical="center" wrapText="1"/>
    </xf>
    <xf numFmtId="0" fontId="19" fillId="0" borderId="105" xfId="0" applyFont="1" applyFill="1" applyBorder="1" applyAlignment="1">
      <alignment horizontal="left" vertical="center" wrapText="1"/>
    </xf>
    <xf numFmtId="0" fontId="19" fillId="0" borderId="106" xfId="0" applyFont="1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right" vertical="center"/>
    </xf>
    <xf numFmtId="0" fontId="23" fillId="7" borderId="4" xfId="0" applyFont="1" applyFill="1" applyBorder="1" applyAlignment="1">
      <alignment horizontal="right" vertical="center"/>
    </xf>
    <xf numFmtId="0" fontId="12" fillId="6" borderId="1" xfId="0" applyFont="1" applyFill="1" applyBorder="1" applyAlignment="1">
      <alignment horizontal="right" vertical="center"/>
    </xf>
    <xf numFmtId="0" fontId="12" fillId="6" borderId="4" xfId="0" applyFont="1" applyFill="1" applyBorder="1" applyAlignment="1">
      <alignment horizontal="right" vertical="center"/>
    </xf>
    <xf numFmtId="0" fontId="13" fillId="7" borderId="7" xfId="0" applyFont="1" applyFill="1" applyBorder="1" applyAlignment="1">
      <alignment horizontal="center"/>
    </xf>
    <xf numFmtId="0" fontId="13" fillId="7" borderId="8" xfId="0" applyFont="1" applyFill="1" applyBorder="1" applyAlignment="1">
      <alignment horizontal="center"/>
    </xf>
    <xf numFmtId="0" fontId="13" fillId="7" borderId="9" xfId="0" applyFont="1" applyFill="1" applyBorder="1" applyAlignment="1">
      <alignment horizontal="center"/>
    </xf>
    <xf numFmtId="0" fontId="19" fillId="6" borderId="11" xfId="0" applyFont="1" applyFill="1" applyBorder="1" applyAlignment="1">
      <alignment horizontal="center"/>
    </xf>
    <xf numFmtId="0" fontId="19" fillId="6" borderId="35" xfId="0" applyFont="1" applyFill="1" applyBorder="1" applyAlignment="1">
      <alignment horizontal="center"/>
    </xf>
    <xf numFmtId="0" fontId="11" fillId="0" borderId="14" xfId="0" applyFont="1" applyBorder="1" applyAlignment="1">
      <alignment horizontal="right"/>
    </xf>
    <xf numFmtId="0" fontId="11" fillId="0" borderId="44" xfId="0" applyFont="1" applyBorder="1" applyAlignment="1">
      <alignment horizontal="right"/>
    </xf>
    <xf numFmtId="9" fontId="14" fillId="6" borderId="136" xfId="1" applyNumberFormat="1" applyFont="1" applyFill="1" applyBorder="1" applyAlignment="1">
      <alignment horizontal="center" vertical="center"/>
    </xf>
    <xf numFmtId="9" fontId="14" fillId="6" borderId="137" xfId="1" applyNumberFormat="1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right"/>
    </xf>
    <xf numFmtId="0" fontId="14" fillId="6" borderId="15" xfId="0" applyFont="1" applyFill="1" applyBorder="1" applyAlignment="1">
      <alignment horizontal="right"/>
    </xf>
    <xf numFmtId="0" fontId="14" fillId="6" borderId="22" xfId="0" applyFont="1" applyFill="1" applyBorder="1" applyAlignment="1">
      <alignment horizontal="center"/>
    </xf>
    <xf numFmtId="0" fontId="14" fillId="6" borderId="12" xfId="0" applyFont="1" applyFill="1" applyBorder="1" applyAlignment="1">
      <alignment horizontal="center"/>
    </xf>
    <xf numFmtId="0" fontId="22" fillId="0" borderId="21" xfId="0" applyFont="1" applyBorder="1" applyAlignment="1">
      <alignment horizontal="right"/>
    </xf>
    <xf numFmtId="0" fontId="22" fillId="0" borderId="2" xfId="0" applyFont="1" applyBorder="1" applyAlignment="1">
      <alignment horizontal="right"/>
    </xf>
    <xf numFmtId="0" fontId="14" fillId="0" borderId="24" xfId="0" applyFont="1" applyBorder="1" applyAlignment="1">
      <alignment horizontal="right"/>
    </xf>
    <xf numFmtId="0" fontId="14" fillId="0" borderId="15" xfId="0" applyFont="1" applyBorder="1" applyAlignment="1">
      <alignment horizontal="right"/>
    </xf>
    <xf numFmtId="0" fontId="22" fillId="0" borderId="48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22" fillId="0" borderId="51" xfId="0" applyFont="1" applyBorder="1" applyAlignment="1">
      <alignment horizontal="center"/>
    </xf>
    <xf numFmtId="0" fontId="22" fillId="0" borderId="47" xfId="0" applyFont="1" applyBorder="1" applyAlignment="1">
      <alignment horizontal="center"/>
    </xf>
    <xf numFmtId="0" fontId="22" fillId="0" borderId="53" xfId="0" applyFont="1" applyBorder="1" applyAlignment="1">
      <alignment horizontal="center"/>
    </xf>
    <xf numFmtId="0" fontId="22" fillId="0" borderId="50" xfId="0" applyFont="1" applyBorder="1" applyAlignment="1">
      <alignment horizontal="center"/>
    </xf>
    <xf numFmtId="0" fontId="12" fillId="6" borderId="63" xfId="0" applyFont="1" applyFill="1" applyBorder="1" applyAlignment="1">
      <alignment horizontal="center"/>
    </xf>
    <xf numFmtId="0" fontId="12" fillId="6" borderId="64" xfId="0" applyFont="1" applyFill="1" applyBorder="1" applyAlignment="1">
      <alignment horizontal="center"/>
    </xf>
    <xf numFmtId="0" fontId="12" fillId="6" borderId="113" xfId="0" applyFont="1" applyFill="1" applyBorder="1" applyAlignment="1">
      <alignment horizontal="center"/>
    </xf>
    <xf numFmtId="0" fontId="12" fillId="6" borderId="131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right"/>
    </xf>
    <xf numFmtId="0" fontId="12" fillId="6" borderId="21" xfId="0" applyFont="1" applyFill="1" applyBorder="1" applyAlignment="1">
      <alignment horizontal="center"/>
    </xf>
    <xf numFmtId="0" fontId="12" fillId="0" borderId="21" xfId="0" applyFont="1" applyBorder="1" applyAlignment="1">
      <alignment horizontal="right"/>
    </xf>
    <xf numFmtId="0" fontId="12" fillId="0" borderId="2" xfId="0" applyFont="1" applyBorder="1" applyAlignment="1">
      <alignment horizontal="right"/>
    </xf>
    <xf numFmtId="0" fontId="11" fillId="0" borderId="53" xfId="0" applyFont="1" applyBorder="1" applyAlignment="1">
      <alignment horizontal="center"/>
    </xf>
    <xf numFmtId="0" fontId="11" fillId="0" borderId="21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4" fillId="6" borderId="11" xfId="0" applyFont="1" applyFill="1" applyBorder="1" applyAlignment="1">
      <alignment horizontal="right"/>
    </xf>
    <xf numFmtId="0" fontId="14" fillId="6" borderId="12" xfId="0" applyFont="1" applyFill="1" applyBorder="1" applyAlignment="1">
      <alignment horizontal="right"/>
    </xf>
    <xf numFmtId="0" fontId="18" fillId="0" borderId="2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0" fontId="14" fillId="6" borderId="79" xfId="0" applyFont="1" applyFill="1" applyBorder="1" applyAlignment="1">
      <alignment horizontal="right"/>
    </xf>
    <xf numFmtId="0" fontId="14" fillId="6" borderId="10" xfId="0" applyFont="1" applyFill="1" applyBorder="1" applyAlignment="1">
      <alignment horizontal="right"/>
    </xf>
    <xf numFmtId="0" fontId="18" fillId="0" borderId="77" xfId="0" applyFont="1" applyBorder="1" applyAlignment="1">
      <alignment horizontal="center"/>
    </xf>
    <xf numFmtId="0" fontId="18" fillId="0" borderId="53" xfId="0" applyFont="1" applyBorder="1" applyAlignment="1">
      <alignment horizontal="center"/>
    </xf>
    <xf numFmtId="0" fontId="18" fillId="0" borderId="78" xfId="0" applyFont="1" applyBorder="1" applyAlignment="1">
      <alignment horizontal="center"/>
    </xf>
    <xf numFmtId="0" fontId="13" fillId="7" borderId="11" xfId="0" applyFont="1" applyFill="1" applyBorder="1" applyAlignment="1">
      <alignment horizontal="center"/>
    </xf>
    <xf numFmtId="0" fontId="13" fillId="7" borderId="13" xfId="0" applyFont="1" applyFill="1" applyBorder="1" applyAlignment="1">
      <alignment horizontal="center"/>
    </xf>
    <xf numFmtId="0" fontId="19" fillId="6" borderId="79" xfId="0" applyFont="1" applyFill="1" applyBorder="1" applyAlignment="1">
      <alignment horizontal="center"/>
    </xf>
    <xf numFmtId="0" fontId="19" fillId="6" borderId="10" xfId="0" applyFont="1" applyFill="1" applyBorder="1" applyAlignment="1">
      <alignment horizontal="center"/>
    </xf>
    <xf numFmtId="0" fontId="18" fillId="0" borderId="53" xfId="0" applyFont="1" applyBorder="1" applyAlignment="1">
      <alignment horizontal="left"/>
    </xf>
    <xf numFmtId="0" fontId="2" fillId="0" borderId="9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19" fillId="6" borderId="79" xfId="0" applyFont="1" applyFill="1" applyBorder="1" applyAlignment="1">
      <alignment horizontal="right" vertical="center"/>
    </xf>
    <xf numFmtId="0" fontId="19" fillId="6" borderId="4" xfId="0" applyFont="1" applyFill="1" applyBorder="1" applyAlignment="1">
      <alignment horizontal="right" vertical="center"/>
    </xf>
    <xf numFmtId="0" fontId="19" fillId="6" borderId="86" xfId="0" applyFont="1" applyFill="1" applyBorder="1" applyAlignment="1">
      <alignment horizontal="right" vertical="center"/>
    </xf>
    <xf numFmtId="0" fontId="19" fillId="6" borderId="94" xfId="0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9" fillId="6" borderId="1" xfId="0" applyFont="1" applyFill="1" applyBorder="1" applyAlignment="1">
      <alignment horizontal="center"/>
    </xf>
    <xf numFmtId="0" fontId="19" fillId="6" borderId="43" xfId="0" applyFont="1" applyFill="1" applyBorder="1" applyAlignment="1">
      <alignment horizontal="center"/>
    </xf>
    <xf numFmtId="0" fontId="19" fillId="6" borderId="10" xfId="0" applyFont="1" applyFill="1" applyBorder="1" applyAlignment="1">
      <alignment horizontal="right" vertical="center"/>
    </xf>
    <xf numFmtId="0" fontId="19" fillId="6" borderId="5" xfId="0" applyFont="1" applyFill="1" applyBorder="1" applyAlignment="1">
      <alignment horizontal="right" vertical="center"/>
    </xf>
    <xf numFmtId="0" fontId="19" fillId="6" borderId="2" xfId="0" applyFont="1" applyFill="1" applyBorder="1" applyAlignment="1">
      <alignment horizontal="center"/>
    </xf>
    <xf numFmtId="0" fontId="18" fillId="0" borderId="5" xfId="0" applyFont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1" fillId="7" borderId="79" xfId="0" applyFont="1" applyFill="1" applyBorder="1" applyAlignment="1">
      <alignment horizontal="center" vertical="center" shrinkToFit="1"/>
    </xf>
    <xf numFmtId="0" fontId="21" fillId="7" borderId="10" xfId="0" applyFont="1" applyFill="1" applyBorder="1" applyAlignment="1">
      <alignment horizontal="center" vertical="center" shrinkToFit="1"/>
    </xf>
    <xf numFmtId="0" fontId="21" fillId="7" borderId="80" xfId="0" applyFont="1" applyFill="1" applyBorder="1" applyAlignment="1">
      <alignment horizontal="center" vertical="center" shrinkToFit="1"/>
    </xf>
    <xf numFmtId="0" fontId="18" fillId="0" borderId="2" xfId="0" applyFont="1" applyBorder="1" applyAlignment="1">
      <alignment horizontal="left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45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1" fillId="0" borderId="138" xfId="0" applyFont="1" applyBorder="1" applyAlignment="1">
      <alignment horizontal="left" vertical="center" wrapText="1"/>
    </xf>
    <xf numFmtId="0" fontId="11" fillId="0" borderId="141" xfId="0" applyFont="1" applyBorder="1" applyAlignment="1">
      <alignment horizontal="left" vertical="center" wrapText="1"/>
    </xf>
    <xf numFmtId="0" fontId="19" fillId="6" borderId="63" xfId="0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horizontal="center" vertical="center"/>
    </xf>
    <xf numFmtId="0" fontId="19" fillId="6" borderId="105" xfId="0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11" fillId="0" borderId="92" xfId="0" applyFont="1" applyBorder="1" applyAlignment="1">
      <alignment horizontal="left" vertical="center" wrapText="1"/>
    </xf>
    <xf numFmtId="0" fontId="11" fillId="0" borderId="117" xfId="0" applyFont="1" applyBorder="1" applyAlignment="1">
      <alignment horizontal="left" vertical="center" wrapText="1"/>
    </xf>
    <xf numFmtId="0" fontId="11" fillId="2" borderId="105" xfId="0" applyFont="1" applyFill="1" applyBorder="1" applyAlignment="1">
      <alignment horizontal="left" vertical="center" wrapText="1"/>
    </xf>
    <xf numFmtId="0" fontId="11" fillId="2" borderId="31" xfId="0" applyFont="1" applyFill="1" applyBorder="1" applyAlignment="1">
      <alignment horizontal="left" vertical="center" wrapText="1"/>
    </xf>
    <xf numFmtId="0" fontId="18" fillId="0" borderId="41" xfId="0" applyFont="1" applyBorder="1" applyAlignment="1">
      <alignment horizontal="center"/>
    </xf>
    <xf numFmtId="0" fontId="18" fillId="0" borderId="45" xfId="0" applyFont="1" applyBorder="1" applyAlignment="1">
      <alignment horizontal="center"/>
    </xf>
    <xf numFmtId="0" fontId="18" fillId="0" borderId="4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0" borderId="45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34" fillId="6" borderId="2" xfId="0" applyFont="1" applyFill="1" applyBorder="1" applyAlignment="1">
      <alignment horizontal="center" vertical="center"/>
    </xf>
    <xf numFmtId="0" fontId="14" fillId="6" borderId="47" xfId="0" applyFont="1" applyFill="1" applyBorder="1" applyAlignment="1">
      <alignment horizontal="center" vertical="center" wrapText="1"/>
    </xf>
    <xf numFmtId="0" fontId="14" fillId="6" borderId="49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4" fillId="6" borderId="21" xfId="0" applyFont="1" applyFill="1" applyBorder="1" applyAlignment="1">
      <alignment horizontal="center"/>
    </xf>
    <xf numFmtId="0" fontId="14" fillId="6" borderId="2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8" fillId="0" borderId="2" xfId="0" applyFont="1" applyBorder="1" applyAlignment="1">
      <alignment horizontal="right"/>
    </xf>
    <xf numFmtId="0" fontId="19" fillId="0" borderId="21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9" fillId="0" borderId="24" xfId="0" applyFont="1" applyBorder="1" applyAlignment="1">
      <alignment horizontal="right"/>
    </xf>
    <xf numFmtId="0" fontId="19" fillId="0" borderId="15" xfId="0" applyFont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168" fontId="11" fillId="0" borderId="55" xfId="0" applyNumberFormat="1" applyFont="1" applyFill="1" applyBorder="1" applyAlignment="1">
      <alignment horizontal="center" vertical="center"/>
    </xf>
    <xf numFmtId="168" fontId="11" fillId="0" borderId="51" xfId="0" applyNumberFormat="1" applyFont="1" applyFill="1" applyBorder="1" applyAlignment="1">
      <alignment horizontal="center" vertical="center"/>
    </xf>
    <xf numFmtId="168" fontId="11" fillId="0" borderId="57" xfId="0" applyNumberFormat="1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/>
    </xf>
    <xf numFmtId="0" fontId="10" fillId="7" borderId="46" xfId="0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/>
    </xf>
    <xf numFmtId="0" fontId="10" fillId="7" borderId="45" xfId="0" applyFont="1" applyFill="1" applyBorder="1" applyAlignment="1">
      <alignment horizontal="center"/>
    </xf>
    <xf numFmtId="0" fontId="10" fillId="7" borderId="46" xfId="0" applyFont="1" applyFill="1" applyBorder="1" applyAlignment="1">
      <alignment horizontal="center"/>
    </xf>
    <xf numFmtId="0" fontId="11" fillId="0" borderId="10" xfId="0" applyNumberFormat="1" applyFont="1" applyFill="1" applyBorder="1" applyAlignment="1">
      <alignment horizontal="center" vertical="center"/>
    </xf>
    <xf numFmtId="0" fontId="13" fillId="7" borderId="59" xfId="0" applyFont="1" applyFill="1" applyBorder="1" applyAlignment="1">
      <alignment horizontal="center"/>
    </xf>
    <xf numFmtId="0" fontId="13" fillId="7" borderId="34" xfId="0" applyFont="1" applyFill="1" applyBorder="1" applyAlignment="1">
      <alignment horizontal="center"/>
    </xf>
    <xf numFmtId="0" fontId="13" fillId="7" borderId="36" xfId="0" applyFont="1" applyFill="1" applyBorder="1" applyAlignment="1">
      <alignment horizontal="center"/>
    </xf>
    <xf numFmtId="0" fontId="12" fillId="6" borderId="24" xfId="0" applyFont="1" applyFill="1" applyBorder="1" applyAlignment="1">
      <alignment horizontal="right" vertical="center"/>
    </xf>
    <xf numFmtId="0" fontId="12" fillId="6" borderId="15" xfId="0" applyFont="1" applyFill="1" applyBorder="1" applyAlignment="1">
      <alignment horizontal="right" vertical="center"/>
    </xf>
    <xf numFmtId="0" fontId="12" fillId="0" borderId="47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6" borderId="3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/>
    </xf>
    <xf numFmtId="0" fontId="12" fillId="13" borderId="24" xfId="0" applyFont="1" applyFill="1" applyBorder="1" applyAlignment="1">
      <alignment horizontal="right" vertical="center"/>
    </xf>
    <xf numFmtId="0" fontId="12" fillId="13" borderId="15" xfId="0" applyFont="1" applyFill="1" applyBorder="1" applyAlignment="1">
      <alignment horizontal="right" vertical="center"/>
    </xf>
    <xf numFmtId="0" fontId="34" fillId="8" borderId="22" xfId="0" applyFont="1" applyFill="1" applyBorder="1" applyAlignment="1">
      <alignment horizontal="center" vertical="center"/>
    </xf>
    <xf numFmtId="0" fontId="34" fillId="8" borderId="12" xfId="0" applyFont="1" applyFill="1" applyBorder="1" applyAlignment="1">
      <alignment horizontal="center" vertical="center"/>
    </xf>
    <xf numFmtId="0" fontId="34" fillId="8" borderId="23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0" fontId="13" fillId="7" borderId="36" xfId="0" applyFont="1" applyFill="1" applyBorder="1" applyAlignment="1">
      <alignment horizontal="center" vertical="center"/>
    </xf>
    <xf numFmtId="0" fontId="12" fillId="6" borderId="43" xfId="0" applyFont="1" applyFill="1" applyBorder="1" applyAlignment="1">
      <alignment horizontal="center" vertical="center"/>
    </xf>
    <xf numFmtId="0" fontId="12" fillId="6" borderId="45" xfId="0" applyFont="1" applyFill="1" applyBorder="1" applyAlignment="1">
      <alignment horizontal="center" vertical="center"/>
    </xf>
    <xf numFmtId="0" fontId="12" fillId="6" borderId="63" xfId="0" applyFont="1" applyFill="1" applyBorder="1" applyAlignment="1">
      <alignment horizontal="center" vertical="center"/>
    </xf>
    <xf numFmtId="0" fontId="12" fillId="6" borderId="64" xfId="0" applyFont="1" applyFill="1" applyBorder="1" applyAlignment="1">
      <alignment horizontal="center" vertical="center"/>
    </xf>
    <xf numFmtId="0" fontId="12" fillId="13" borderId="32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13" borderId="41" xfId="0" applyFont="1" applyFill="1" applyBorder="1" applyAlignment="1">
      <alignment horizontal="center" vertical="center"/>
    </xf>
    <xf numFmtId="0" fontId="12" fillId="13" borderId="45" xfId="0" applyFont="1" applyFill="1" applyBorder="1" applyAlignment="1">
      <alignment horizontal="center" vertical="center"/>
    </xf>
    <xf numFmtId="0" fontId="12" fillId="13" borderId="63" xfId="0" applyFont="1" applyFill="1" applyBorder="1" applyAlignment="1">
      <alignment horizontal="center" vertical="center"/>
    </xf>
    <xf numFmtId="0" fontId="12" fillId="13" borderId="64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2" fillId="6" borderId="21" xfId="0" applyFont="1" applyFill="1" applyBorder="1" applyAlignment="1">
      <alignment horizontal="center" vertical="center"/>
    </xf>
  </cellXfs>
  <cellStyles count="6">
    <cellStyle name="Millares" xfId="2" builtinId="3"/>
    <cellStyle name="Moneda" xfId="3" builtinId="4"/>
    <cellStyle name="Moneda 2" xfId="5"/>
    <cellStyle name="Normal" xfId="0" builtinId="0"/>
    <cellStyle name="Normal 2" xfId="4"/>
    <cellStyle name="Porcentaje" xfId="1" builtinId="5"/>
  </cellStyles>
  <dxfs count="0"/>
  <tableStyles count="0" defaultTableStyle="TableStyleMedium2" defaultPivotStyle="PivotStyleLight16"/>
  <colors>
    <mruColors>
      <color rgb="FFFFFF00"/>
      <color rgb="FFFF5050"/>
      <color rgb="FF99CC00"/>
      <color rgb="FFC00000"/>
      <color rgb="FFFFFF66"/>
      <color rgb="FF000000"/>
      <color rgb="FFCCCC00"/>
      <color rgb="FFFF9900"/>
      <color rgb="FFFF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SloPri!$A$53</c:f>
              <c:strCache>
                <c:ptCount val="1"/>
                <c:pt idx="0">
                  <c:v>LOTE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77E8-4EEA-A5B5-700ADF954C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SloPri!$B$53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E8-4EEA-A5B5-700ADF954CFD}"/>
            </c:ext>
          </c:extLst>
        </c:ser>
        <c:ser>
          <c:idx val="1"/>
          <c:order val="1"/>
          <c:tx>
            <c:strRef>
              <c:f>SloPri!$A$54</c:f>
              <c:strCache>
                <c:ptCount val="1"/>
                <c:pt idx="0">
                  <c:v>1 PISO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77E8-4EEA-A5B5-700ADF954C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SloPri!$B$54</c:f>
              <c:numCache>
                <c:formatCode>General</c:formatCode>
                <c:ptCount val="1"/>
                <c:pt idx="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E8-4EEA-A5B5-700ADF954CFD}"/>
            </c:ext>
          </c:extLst>
        </c:ser>
        <c:ser>
          <c:idx val="2"/>
          <c:order val="2"/>
          <c:tx>
            <c:strRef>
              <c:f>SloPri!$A$55</c:f>
              <c:strCache>
                <c:ptCount val="1"/>
                <c:pt idx="0">
                  <c:v>2 PISOS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77E8-4EEA-A5B5-700ADF954C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SloPri!$B$55</c:f>
              <c:numCache>
                <c:formatCode>General</c:formatCode>
                <c:ptCount val="1"/>
                <c:pt idx="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7E8-4EEA-A5B5-700ADF954CFD}"/>
            </c:ext>
          </c:extLst>
        </c:ser>
        <c:ser>
          <c:idx val="3"/>
          <c:order val="3"/>
          <c:tx>
            <c:strRef>
              <c:f>SloPri!$A$56</c:f>
              <c:strCache>
                <c:ptCount val="1"/>
                <c:pt idx="0">
                  <c:v>3 PISOS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77E8-4EEA-A5B5-700ADF954C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SloPri!$B$56</c:f>
              <c:numCache>
                <c:formatCode>General</c:formatCode>
                <c:ptCount val="1"/>
                <c:pt idx="0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E8-4EEA-A5B5-700ADF954CFD}"/>
            </c:ext>
          </c:extLst>
        </c:ser>
        <c:ser>
          <c:idx val="4"/>
          <c:order val="4"/>
          <c:tx>
            <c:strRef>
              <c:f>SloPri!$A$57</c:f>
              <c:strCache>
                <c:ptCount val="1"/>
                <c:pt idx="0">
                  <c:v>4 PISOS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77E8-4EEA-A5B5-700ADF954C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SloPri!$B$57</c:f>
              <c:numCache>
                <c:formatCode>General</c:formatCode>
                <c:ptCount val="1"/>
                <c:pt idx="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E8-4EEA-A5B5-700ADF954CFD}"/>
            </c:ext>
          </c:extLst>
        </c:ser>
        <c:ser>
          <c:idx val="5"/>
          <c:order val="5"/>
          <c:tx>
            <c:strRef>
              <c:f>SloPri!$A$58</c:f>
              <c:strCache>
                <c:ptCount val="1"/>
                <c:pt idx="0">
                  <c:v>5 PISOS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77E8-4EEA-A5B5-700ADF954CF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SloPri!$B$58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7E8-4EEA-A5B5-700ADF954CF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08363327"/>
        <c:axId val="2008370815"/>
        <c:axId val="0"/>
      </c:bar3DChart>
      <c:catAx>
        <c:axId val="2008363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08370815"/>
        <c:crosses val="autoZero"/>
        <c:auto val="1"/>
        <c:lblAlgn val="ctr"/>
        <c:lblOffset val="100"/>
        <c:noMultiLvlLbl val="0"/>
      </c:catAx>
      <c:valAx>
        <c:axId val="2008370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dk1">
                  <a:lumMod val="60000"/>
                  <a:lumOff val="40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3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300" b="1"/>
                  <a:t>NUMERO DE PREDIOS</a:t>
                </a:r>
              </a:p>
            </c:rich>
          </c:tx>
          <c:layout>
            <c:manualLayout>
              <c:xMode val="edge"/>
              <c:yMode val="edge"/>
              <c:x val="4.894060115468625E-2"/>
              <c:y val="0.229476863722890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3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8363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9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433-4273-86BD-9041AEF11DE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BB1-4C01-A1C8-523BD734996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BB1-4C01-A1C8-523BD7349962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BB1-4C01-A1C8-523BD7349962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BB1-4C01-A1C8-523BD7349962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SloPri!$A$65:$A$69</c:f>
              <c:strCache>
                <c:ptCount val="5"/>
                <c:pt idx="0">
                  <c:v>Vivienda</c:v>
                </c:pt>
                <c:pt idx="1">
                  <c:v>Servicios</c:v>
                </c:pt>
                <c:pt idx="2">
                  <c:v>Comercio</c:v>
                </c:pt>
                <c:pt idx="3">
                  <c:v>Ind. Artesanal</c:v>
                </c:pt>
                <c:pt idx="4">
                  <c:v>Dotacional</c:v>
                </c:pt>
              </c:strCache>
            </c:strRef>
          </c:cat>
          <c:val>
            <c:numRef>
              <c:f>SloPri!$B$65:$B$69</c:f>
              <c:numCache>
                <c:formatCode>General</c:formatCode>
                <c:ptCount val="5"/>
                <c:pt idx="0">
                  <c:v>225</c:v>
                </c:pt>
                <c:pt idx="1">
                  <c:v>32</c:v>
                </c:pt>
                <c:pt idx="2">
                  <c:v>24</c:v>
                </c:pt>
                <c:pt idx="3">
                  <c:v>8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33-4273-86BD-9041AEF11DE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B-3BB1-4C01-A1C8-523BD7349962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D-3BB1-4C01-A1C8-523BD7349962}"/>
                    </c:ext>
                  </c:extLst>
                </c:dPt>
                <c:dPt>
                  <c:idx val="2"/>
                  <c:bubble3D val="0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F-3BB1-4C01-A1C8-523BD7349962}"/>
                    </c:ext>
                  </c:extLst>
                </c:dPt>
                <c:dPt>
                  <c:idx val="3"/>
                  <c:bubble3D val="0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1-3BB1-4C01-A1C8-523BD7349962}"/>
                    </c:ext>
                  </c:extLst>
                </c:dPt>
                <c:dPt>
                  <c:idx val="4"/>
                  <c:bubble3D val="0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3-3BB1-4C01-A1C8-523BD7349962}"/>
                    </c:ext>
                  </c:extLst>
                </c:dPt>
                <c:dLbls>
                  <c:spPr>
                    <a:solidFill>
                      <a:sysClr val="window" lastClr="FFFFFF"/>
                    </a:solidFill>
                    <a:ln>
                      <a:noFill/>
                    </a:ln>
                    <a:effectLst/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noFill/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SloPri!$A$65:$A$69</c15:sqref>
                        </c15:formulaRef>
                      </c:ext>
                    </c:extLst>
                    <c:strCache>
                      <c:ptCount val="5"/>
                      <c:pt idx="0">
                        <c:v>Vivienda</c:v>
                      </c:pt>
                      <c:pt idx="1">
                        <c:v>Servicios</c:v>
                      </c:pt>
                      <c:pt idx="2">
                        <c:v>Comercio</c:v>
                      </c:pt>
                      <c:pt idx="3">
                        <c:v>Ind. Artesanal</c:v>
                      </c:pt>
                      <c:pt idx="4">
                        <c:v>Dotacional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SloPri!$C$65:$C$69</c15:sqref>
                        </c15:formulaRef>
                      </c:ext>
                    </c:extLst>
                    <c:numCache>
                      <c:formatCode>0%</c:formatCode>
                      <c:ptCount val="5"/>
                      <c:pt idx="0">
                        <c:v>0.77586206896551724</c:v>
                      </c:pt>
                      <c:pt idx="1">
                        <c:v>0.1103448275862069</c:v>
                      </c:pt>
                      <c:pt idx="2">
                        <c:v>8.2758620689655171E-2</c:v>
                      </c:pt>
                      <c:pt idx="3">
                        <c:v>2.7586206896551724E-2</c:v>
                      </c:pt>
                      <c:pt idx="4" formatCode="0.0%">
                        <c:v>3.4482758620689655E-3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3433-4273-86BD-9041AEF11DEA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AportSlo!$B$22</c:f>
              <c:strCache>
                <c:ptCount val="1"/>
                <c:pt idx="0">
                  <c:v>Espacio Público Parques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952-4D05-9D05-347DA7BB43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AportSlo!$C$22:$D$22</c15:sqref>
                  </c15:fullRef>
                </c:ext>
              </c:extLst>
              <c:f>AportSlo!$D$22</c:f>
              <c:numCache>
                <c:formatCode>#,##0\ "m2"</c:formatCode>
                <c:ptCount val="1"/>
                <c:pt idx="0">
                  <c:v>6386.33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52-4D05-9D05-347DA7BB4346}"/>
            </c:ext>
          </c:extLst>
        </c:ser>
        <c:ser>
          <c:idx val="1"/>
          <c:order val="1"/>
          <c:tx>
            <c:strRef>
              <c:f>AportSlo!$B$23</c:f>
              <c:strCache>
                <c:ptCount val="1"/>
                <c:pt idx="0">
                  <c:v>Espacio Público Vías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952-4D05-9D05-347DA7BB43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AportSlo!$C$23:$D$23</c15:sqref>
                  </c15:fullRef>
                </c:ext>
              </c:extLst>
              <c:f>AportSlo!$D$23</c:f>
              <c:numCache>
                <c:formatCode>#,##0\ "m2"</c:formatCode>
                <c:ptCount val="1"/>
                <c:pt idx="0">
                  <c:v>6654.2900000000009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52-4D05-9D05-347DA7BB4346}"/>
            </c:ext>
          </c:extLst>
        </c:ser>
        <c:ser>
          <c:idx val="2"/>
          <c:order val="2"/>
          <c:tx>
            <c:strRef>
              <c:f>AportSlo!$B$25</c:f>
              <c:strCache>
                <c:ptCount val="1"/>
                <c:pt idx="0">
                  <c:v>Manzanas Prediales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952-4D05-9D05-347DA7BB43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AportSlo!$C$25:$D$25</c15:sqref>
                  </c15:fullRef>
                </c:ext>
              </c:extLst>
              <c:f>AportSlo!$D$25</c:f>
              <c:numCache>
                <c:formatCode>#,##0\ "m2"</c:formatCode>
                <c:ptCount val="1"/>
                <c:pt idx="0">
                  <c:v>19374.489999999998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52-4D05-9D05-347DA7BB4346}"/>
            </c:ext>
          </c:extLst>
        </c:ser>
        <c:ser>
          <c:idx val="3"/>
          <c:order val="3"/>
          <c:tx>
            <c:strRef>
              <c:f>AportSlo!$B$26</c:f>
              <c:strCache>
                <c:ptCount val="1"/>
                <c:pt idx="0">
                  <c:v>Parroquia Santa Gertrudis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B952-4D05-9D05-347DA7BB43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AportSlo!$C$26:$D$26</c15:sqref>
                  </c15:fullRef>
                </c:ext>
              </c:extLst>
              <c:f>AportSlo!$D$26</c:f>
              <c:numCache>
                <c:formatCode>#,##0\ "m2"</c:formatCode>
                <c:ptCount val="1"/>
                <c:pt idx="0">
                  <c:v>799.55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52-4D05-9D05-347DA7BB434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876888735"/>
        <c:axId val="1876901631"/>
      </c:barChart>
      <c:catAx>
        <c:axId val="1876888735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1876901631"/>
        <c:crosses val="autoZero"/>
        <c:auto val="1"/>
        <c:lblAlgn val="ctr"/>
        <c:lblOffset val="100"/>
        <c:noMultiLvlLbl val="0"/>
      </c:catAx>
      <c:valAx>
        <c:axId val="1876901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6888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chemeClr val="tx2">
          <a:lumMod val="40000"/>
          <a:lumOff val="60000"/>
        </a:schemeClr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C"/>
              <a:t> ESPACIO PUBLICO EXISTENTE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7A9-4DE3-B486-DBEBE6B892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7A9-4DE3-B486-DBEBE6B8922B}"/>
              </c:ext>
            </c:extLst>
          </c:dPt>
          <c:cat>
            <c:strRef>
              <c:f>(EpEXvsEpPR!$B$5,EpEXvsEpPR!$B$9)</c:f>
              <c:strCache>
                <c:ptCount val="2"/>
                <c:pt idx="0">
                  <c:v>ESPACIO PUBLICO EFECTIVO</c:v>
                </c:pt>
                <c:pt idx="1">
                  <c:v>ESPACIO PUBLICO VIAS</c:v>
                </c:pt>
              </c:strCache>
            </c:strRef>
          </c:cat>
          <c:val>
            <c:numRef>
              <c:f>(EpEXvsEpPR!$C$5,EpEXvsEpPR!$C$9)</c:f>
              <c:numCache>
                <c:formatCode>#,##0\ "m2"</c:formatCode>
                <c:ptCount val="2"/>
                <c:pt idx="0">
                  <c:v>6386.33</c:v>
                </c:pt>
                <c:pt idx="1">
                  <c:v>6654.2900000000009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E5-41F8-9DFF-94ADD5BF0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C"/>
              <a:t>ESPACIO PUBLICO NUEVO Y REORDENADO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3B4-426C-B0D9-4DA03DB5F72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3B4-426C-B0D9-4DA03DB5F720}"/>
              </c:ext>
            </c:extLst>
          </c:dPt>
          <c:cat>
            <c:strRef>
              <c:f>(EpEXvsEpPR!$E$5,EpEXvsEpPR!$E$9)</c:f>
              <c:strCache>
                <c:ptCount val="2"/>
                <c:pt idx="0">
                  <c:v>ESPACIO PUBLICO EFECTIVO</c:v>
                </c:pt>
                <c:pt idx="1">
                  <c:v>ESPACIO PUBLICO VIAS</c:v>
                </c:pt>
              </c:strCache>
            </c:strRef>
          </c:cat>
          <c:val>
            <c:numRef>
              <c:f>(EpEXvsEpPR!$F$5,EpEXvsEpPR!$F$9)</c:f>
              <c:numCache>
                <c:formatCode>#,##0\ "m2"</c:formatCode>
                <c:ptCount val="2"/>
                <c:pt idx="0">
                  <c:v>16803.670000000002</c:v>
                </c:pt>
                <c:pt idx="1">
                  <c:v>5501.75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ED-474B-A44B-CB3A604FB5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C"/>
              <a:t>PROPUESTA</a:t>
            </a:r>
            <a:r>
              <a:rPr lang="es-EC" baseline="0"/>
              <a:t> DISTRIBUCION SUELO </a:t>
            </a:r>
            <a:r>
              <a:rPr lang="es-EC"/>
              <a:t>PUBLICO Y PRIVADO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23A-40D7-802B-D0C707ADB30B}"/>
              </c:ext>
            </c:extLst>
          </c:dPt>
          <c:dPt>
            <c:idx val="1"/>
            <c:bubble3D val="0"/>
            <c:spPr>
              <a:solidFill>
                <a:schemeClr val="accent5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23A-40D7-802B-D0C707ADB30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23A-40D7-802B-D0C707ADB30B}"/>
              </c:ext>
            </c:extLst>
          </c:dPt>
          <c:cat>
            <c:strRef>
              <c:f>(PartSloPyP!$A$11,PartSloPyP!$A$14,PartSloPyP!$A$23)</c:f>
              <c:strCache>
                <c:ptCount val="3"/>
                <c:pt idx="0">
                  <c:v>TOTAL AREA PUBLICA</c:v>
                </c:pt>
                <c:pt idx="1">
                  <c:v>EQUIPAMIENTO PUBLICO</c:v>
                </c:pt>
                <c:pt idx="2">
                  <c:v>TOTAL AREA PRIVADA</c:v>
                </c:pt>
              </c:strCache>
            </c:strRef>
          </c:cat>
          <c:val>
            <c:numRef>
              <c:f>(PartSloPyP!$C$11,PartSloPyP!$C$14,PartSloPyP!$C$23)</c:f>
              <c:numCache>
                <c:formatCode>#,##0\ "m2"</c:formatCode>
                <c:ptCount val="3"/>
                <c:pt idx="0">
                  <c:v>22305.42</c:v>
                </c:pt>
                <c:pt idx="1">
                  <c:v>972.45</c:v>
                </c:pt>
                <c:pt idx="2">
                  <c:v>9137.24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C9-46D7-BA8D-3025D126B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C" sz="1000"/>
              <a:t>PROPORCION SUELO PUBLICO / PRIVADO</a:t>
            </a:r>
          </a:p>
        </c:rich>
      </c:tx>
      <c:layout>
        <c:manualLayout>
          <c:xMode val="edge"/>
          <c:yMode val="edge"/>
          <c:x val="0.1811163224194061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8685117619194889"/>
          <c:y val="0.12650856419710116"/>
          <c:w val="0.58453696127903287"/>
          <c:h val="0.60072266647223949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'0Model'!$A$11</c:f>
              <c:strCache>
                <c:ptCount val="1"/>
                <c:pt idx="0">
                  <c:v>TOTAL CESIONES (Espacio público, Vías y Equip. Pub.)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('0Model'!$B$11,'0Model'!$D$11)</c:f>
              <c:numCache>
                <c:formatCode>0%</c:formatCode>
                <c:ptCount val="2"/>
                <c:pt idx="1">
                  <c:v>0.71812762554732157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2A-4C5E-A738-4272F30C09FA}"/>
            </c:ext>
          </c:extLst>
        </c:ser>
        <c:ser>
          <c:idx val="1"/>
          <c:order val="1"/>
          <c:tx>
            <c:strRef>
              <c:f>'0Model'!$A$12</c:f>
              <c:strCache>
                <c:ptCount val="1"/>
                <c:pt idx="0">
                  <c:v>AREA UTIL PROPUESTA (Según cabida propuesta)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('0Model'!$B$12,'0Model'!$D$12)</c:f>
              <c:numCache>
                <c:formatCode>0%</c:formatCode>
                <c:ptCount val="2"/>
                <c:pt idx="1">
                  <c:v>0.28187237445267843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2A-4C5E-A738-4272F30C0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94819360"/>
        <c:axId val="694808544"/>
      </c:barChart>
      <c:catAx>
        <c:axId val="694819360"/>
        <c:scaling>
          <c:orientation val="minMax"/>
        </c:scaling>
        <c:delete val="1"/>
        <c:axPos val="b"/>
        <c:majorTickMark val="none"/>
        <c:minorTickMark val="none"/>
        <c:tickLblPos val="nextTo"/>
        <c:crossAx val="694808544"/>
        <c:crosses val="autoZero"/>
        <c:auto val="1"/>
        <c:lblAlgn val="ctr"/>
        <c:lblOffset val="100"/>
        <c:noMultiLvlLbl val="0"/>
      </c:catAx>
      <c:valAx>
        <c:axId val="69480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819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7706181026686971E-2"/>
          <c:y val="0.76542709102441531"/>
          <c:w val="0.81351416950161093"/>
          <c:h val="0.21504427838268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7777777777777779E-3"/>
          <c:y val="0.12745370370370374"/>
          <c:w val="0.7531334208223972"/>
          <c:h val="0.84476851851851853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F568-4BCE-8D1F-72C9B495E4A2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568-4BCE-8D1F-72C9B495E4A2}"/>
              </c:ext>
            </c:extLst>
          </c:dPt>
          <c:dPt>
            <c:idx val="2"/>
            <c:bubble3D val="0"/>
            <c:spPr>
              <a:solidFill>
                <a:srgbClr val="FF5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6-F568-4BCE-8D1F-72C9B495E4A2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F568-4BCE-8D1F-72C9B495E4A2}"/>
              </c:ext>
            </c:extLst>
          </c:dPt>
          <c:dPt>
            <c:idx val="4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F568-4BCE-8D1F-72C9B495E4A2}"/>
              </c:ext>
            </c:extLst>
          </c:dPt>
          <c:dPt>
            <c:idx val="5"/>
            <c:bubble3D val="0"/>
            <c:spPr>
              <a:solidFill>
                <a:srgbClr val="99CC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F568-4BCE-8D1F-72C9B495E4A2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8-F568-4BCE-8D1F-72C9B495E4A2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8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2-F568-4BCE-8D1F-72C9B495E4A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7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F568-4BCE-8D1F-72C9B495E4A2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6-F568-4BCE-8D1F-72C9B495E4A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F568-4BCE-8D1F-72C9B495E4A2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F568-4BCE-8D1F-72C9B495E4A2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8-F568-4BCE-8D1F-72C9B495E4A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'1Aprov'!$B$33:$B$39</c:f>
              <c:strCache>
                <c:ptCount val="7"/>
                <c:pt idx="0">
                  <c:v>RES. VIS</c:v>
                </c:pt>
                <c:pt idx="1">
                  <c:v>RES. NO VIS</c:v>
                </c:pt>
                <c:pt idx="2">
                  <c:v>CyS T1 Com/Serv B</c:v>
                </c:pt>
                <c:pt idx="3">
                  <c:v>CyS T2 Com/Serv B</c:v>
                </c:pt>
                <c:pt idx="4">
                  <c:v>CyS T3 Com/Serv B</c:v>
                </c:pt>
                <c:pt idx="5">
                  <c:v>CyS T3 Serv. Ofic.</c:v>
                </c:pt>
                <c:pt idx="6">
                  <c:v>DOT T2</c:v>
                </c:pt>
              </c:strCache>
            </c:strRef>
          </c:cat>
          <c:val>
            <c:numRef>
              <c:f>'1Aprov'!$C$33:$C$39</c:f>
              <c:numCache>
                <c:formatCode>#,##0\ "m2"</c:formatCode>
                <c:ptCount val="7"/>
                <c:pt idx="0">
                  <c:v>38880</c:v>
                </c:pt>
                <c:pt idx="1">
                  <c:v>8192</c:v>
                </c:pt>
                <c:pt idx="2">
                  <c:v>784</c:v>
                </c:pt>
                <c:pt idx="3">
                  <c:v>3308</c:v>
                </c:pt>
                <c:pt idx="4">
                  <c:v>4033</c:v>
                </c:pt>
                <c:pt idx="5">
                  <c:v>11313</c:v>
                </c:pt>
                <c:pt idx="6">
                  <c:v>12729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68-4BCE-8D1F-72C9B495E4A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80962</xdr:colOff>
      <xdr:row>49</xdr:row>
      <xdr:rowOff>157956</xdr:rowOff>
    </xdr:from>
    <xdr:to>
      <xdr:col>14</xdr:col>
      <xdr:colOff>561974</xdr:colOff>
      <xdr:row>63</xdr:row>
      <xdr:rowOff>57150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BEB4349-D59B-4A2C-8BAD-CB032ECAF8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66676</xdr:colOff>
      <xdr:row>66</xdr:row>
      <xdr:rowOff>133350</xdr:rowOff>
    </xdr:from>
    <xdr:to>
      <xdr:col>12</xdr:col>
      <xdr:colOff>310767</xdr:colOff>
      <xdr:row>79</xdr:row>
      <xdr:rowOff>47626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4B4C6909-FB99-4986-A602-687936A260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</xdr:colOff>
      <xdr:row>19</xdr:row>
      <xdr:rowOff>0</xdr:rowOff>
    </xdr:from>
    <xdr:to>
      <xdr:col>9</xdr:col>
      <xdr:colOff>16566</xdr:colOff>
      <xdr:row>34</xdr:row>
      <xdr:rowOff>13252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E07D818A-E472-4459-A080-42B2808DA5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108856</xdr:colOff>
      <xdr:row>22</xdr:row>
      <xdr:rowOff>0</xdr:rowOff>
    </xdr:from>
    <xdr:to>
      <xdr:col>2</xdr:col>
      <xdr:colOff>510268</xdr:colOff>
      <xdr:row>35</xdr:row>
      <xdr:rowOff>21090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8979077F-D51A-4632-A1F0-DC52B73CA3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183696</xdr:colOff>
      <xdr:row>21</xdr:row>
      <xdr:rowOff>183015</xdr:rowOff>
    </xdr:from>
    <xdr:to>
      <xdr:col>5</xdr:col>
      <xdr:colOff>367392</xdr:colOff>
      <xdr:row>35</xdr:row>
      <xdr:rowOff>27214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4BD39BD-2213-4D81-B8CB-56544D276D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315517</xdr:colOff>
      <xdr:row>12</xdr:row>
      <xdr:rowOff>89890</xdr:rowOff>
    </xdr:from>
    <xdr:to>
      <xdr:col>11</xdr:col>
      <xdr:colOff>255986</xdr:colOff>
      <xdr:row>24</xdr:row>
      <xdr:rowOff>189903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EA197F1-6264-4704-86C7-F7EF9B1DBE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519546</xdr:colOff>
      <xdr:row>0</xdr:row>
      <xdr:rowOff>0</xdr:rowOff>
    </xdr:from>
    <xdr:to>
      <xdr:col>5</xdr:col>
      <xdr:colOff>822613</xdr:colOff>
      <xdr:row>15</xdr:row>
      <xdr:rowOff>28049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6406AA5-71C5-475B-BC36-7A5CED9BD7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159883</xdr:colOff>
      <xdr:row>31</xdr:row>
      <xdr:rowOff>80961</xdr:rowOff>
    </xdr:from>
    <xdr:to>
      <xdr:col>9</xdr:col>
      <xdr:colOff>421821</xdr:colOff>
      <xdr:row>45</xdr:row>
      <xdr:rowOff>150358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3508F434-B00B-4DE6-8404-DB220E9728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.%20BACK%20UP%20APBB\02.%20ESTUDIOS\20.%20POSGRADO%20MDGU\06.%20Trabajo%20de%20Grado\00.%20Inventario%20de%20Pred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ZANA 9206015"/>
      <sheetName val="MANZANA 9206016"/>
      <sheetName val="MANZANA 9206017"/>
      <sheetName val="MANZANA 9206022"/>
      <sheetName val="MANZANA 9206023"/>
      <sheetName val="MANZANA 9206025"/>
      <sheetName val="MANZANA 9206026"/>
      <sheetName val="MANZANA 9206027"/>
      <sheetName val="MANZANA 9206028"/>
    </sheetNames>
    <sheetDataSet>
      <sheetData sheetId="0">
        <row r="41">
          <cell r="B41">
            <v>36</v>
          </cell>
        </row>
      </sheetData>
      <sheetData sheetId="1">
        <row r="45">
          <cell r="B45">
            <v>40</v>
          </cell>
        </row>
      </sheetData>
      <sheetData sheetId="2">
        <row r="51">
          <cell r="B51">
            <v>46</v>
          </cell>
        </row>
      </sheetData>
      <sheetData sheetId="3">
        <row r="30">
          <cell r="B30">
            <v>25</v>
          </cell>
        </row>
      </sheetData>
      <sheetData sheetId="4">
        <row r="38">
          <cell r="B38">
            <v>33</v>
          </cell>
        </row>
      </sheetData>
      <sheetData sheetId="5">
        <row r="24">
          <cell r="B24">
            <v>19</v>
          </cell>
        </row>
      </sheetData>
      <sheetData sheetId="6">
        <row r="24">
          <cell r="B24">
            <v>19</v>
          </cell>
        </row>
      </sheetData>
      <sheetData sheetId="7">
        <row r="34">
          <cell r="B34">
            <v>29</v>
          </cell>
        </row>
      </sheetData>
      <sheetData sheetId="8">
        <row r="47">
          <cell r="B47">
            <v>42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P70"/>
  <sheetViews>
    <sheetView zoomScaleNormal="100" workbookViewId="0">
      <selection activeCell="G16" sqref="G16"/>
    </sheetView>
  </sheetViews>
  <sheetFormatPr baseColWidth="10" defaultColWidth="11.44140625" defaultRowHeight="13.2" x14ac:dyDescent="0.25"/>
  <cols>
    <col min="1" max="1" width="12.109375" style="633" bestFit="1" customWidth="1"/>
    <col min="2" max="2" width="10.109375" style="633" customWidth="1"/>
    <col min="3" max="3" width="14.44140625" style="633" bestFit="1" customWidth="1"/>
    <col min="4" max="4" width="9.6640625" style="633" bestFit="1" customWidth="1"/>
    <col min="5" max="5" width="14.5546875" style="633" customWidth="1"/>
    <col min="6" max="6" width="12.44140625" style="633" bestFit="1" customWidth="1"/>
    <col min="7" max="7" width="9.6640625" style="633" customWidth="1"/>
    <col min="8" max="8" width="13.6640625" style="633" bestFit="1" customWidth="1"/>
    <col min="9" max="9" width="6.33203125" style="633" bestFit="1" customWidth="1"/>
    <col min="10" max="10" width="10.109375" style="633" customWidth="1"/>
    <col min="11" max="11" width="13.6640625" style="633" bestFit="1" customWidth="1"/>
    <col min="12" max="12" width="6.33203125" style="633" bestFit="1" customWidth="1"/>
    <col min="13" max="14" width="9.109375" style="633" bestFit="1" customWidth="1"/>
    <col min="15" max="16384" width="11.44140625" style="633"/>
  </cols>
  <sheetData>
    <row r="1" spans="1:16" ht="17.399999999999999" x14ac:dyDescent="0.3">
      <c r="A1" s="1203" t="s">
        <v>19</v>
      </c>
      <c r="B1" s="1204"/>
      <c r="C1" s="1204"/>
      <c r="D1" s="1204"/>
      <c r="E1" s="1204"/>
      <c r="F1" s="1204"/>
      <c r="G1" s="1204"/>
      <c r="H1" s="1204"/>
      <c r="I1" s="1204"/>
      <c r="J1" s="1204"/>
      <c r="K1" s="1204"/>
      <c r="L1" s="1205"/>
    </row>
    <row r="2" spans="1:16" ht="15.6" x14ac:dyDescent="0.3">
      <c r="A2" s="634"/>
      <c r="B2" s="1206" t="s">
        <v>33</v>
      </c>
      <c r="C2" s="1206"/>
      <c r="D2" s="1206"/>
      <c r="E2" s="1206"/>
      <c r="F2" s="1206"/>
      <c r="G2" s="1206" t="s">
        <v>80</v>
      </c>
      <c r="H2" s="1206"/>
      <c r="I2" s="1206"/>
      <c r="J2" s="1206" t="s">
        <v>81</v>
      </c>
      <c r="K2" s="1206"/>
      <c r="L2" s="1210"/>
    </row>
    <row r="3" spans="1:16" ht="39.6" x14ac:dyDescent="0.25">
      <c r="A3" s="489" t="s">
        <v>0</v>
      </c>
      <c r="B3" s="158" t="s">
        <v>1</v>
      </c>
      <c r="C3" s="158" t="s">
        <v>84</v>
      </c>
      <c r="D3" s="158" t="s">
        <v>5</v>
      </c>
      <c r="E3" s="158" t="s">
        <v>85</v>
      </c>
      <c r="F3" s="158" t="s">
        <v>3</v>
      </c>
      <c r="G3" s="158" t="s">
        <v>1</v>
      </c>
      <c r="H3" s="158" t="s">
        <v>84</v>
      </c>
      <c r="I3" s="158" t="s">
        <v>5</v>
      </c>
      <c r="J3" s="158" t="s">
        <v>1</v>
      </c>
      <c r="K3" s="158" t="s">
        <v>84</v>
      </c>
      <c r="L3" s="270" t="s">
        <v>5</v>
      </c>
      <c r="N3" s="635"/>
    </row>
    <row r="4" spans="1:16" x14ac:dyDescent="0.25">
      <c r="A4" s="485">
        <v>9206015</v>
      </c>
      <c r="B4" s="636">
        <v>36</v>
      </c>
      <c r="C4" s="637">
        <f>+VrSlo!C3</f>
        <v>2569.3000000000002</v>
      </c>
      <c r="D4" s="638">
        <v>1</v>
      </c>
      <c r="E4" s="639">
        <f>+VrSlo!D3</f>
        <v>7263.2499999999982</v>
      </c>
      <c r="F4" s="640">
        <v>3</v>
      </c>
      <c r="G4" s="641">
        <v>24</v>
      </c>
      <c r="H4" s="639">
        <v>1597.65</v>
      </c>
      <c r="I4" s="642">
        <f>+H4/C4</f>
        <v>0.62182306464795856</v>
      </c>
      <c r="J4" s="636">
        <f>+B4-G4</f>
        <v>12</v>
      </c>
      <c r="K4" s="639">
        <f>970.02+1.65</f>
        <v>971.67</v>
      </c>
      <c r="L4" s="643">
        <f>+K4/C4</f>
        <v>0.37818471957342464</v>
      </c>
      <c r="M4" s="644">
        <f>+H4+K4</f>
        <v>2569.3200000000002</v>
      </c>
      <c r="N4" s="645"/>
      <c r="O4" s="646"/>
      <c r="P4" s="646"/>
    </row>
    <row r="5" spans="1:16" x14ac:dyDescent="0.25">
      <c r="A5" s="487">
        <v>9206016</v>
      </c>
      <c r="B5" s="647">
        <v>40</v>
      </c>
      <c r="C5" s="648">
        <f>+VrSlo!C4</f>
        <v>2755.67</v>
      </c>
      <c r="D5" s="649">
        <v>1</v>
      </c>
      <c r="E5" s="361">
        <f>+VrSlo!D4</f>
        <v>7040.7600000000011</v>
      </c>
      <c r="F5" s="650">
        <v>3</v>
      </c>
      <c r="G5" s="382">
        <v>25</v>
      </c>
      <c r="H5" s="361">
        <v>1585.29</v>
      </c>
      <c r="I5" s="651">
        <f t="shared" ref="I5:I12" si="0">+H5/C5</f>
        <v>0.57528296203827012</v>
      </c>
      <c r="J5" s="652">
        <f t="shared" ref="J5:J12" si="1">+B5-G5</f>
        <v>15</v>
      </c>
      <c r="K5" s="361">
        <v>1170.3599999999999</v>
      </c>
      <c r="L5" s="643">
        <f t="shared" ref="L5:L12" si="2">+K5/C5</f>
        <v>0.42470978019864492</v>
      </c>
      <c r="M5" s="644">
        <f t="shared" ref="M5:M12" si="3">+H5+K5</f>
        <v>2755.6499999999996</v>
      </c>
      <c r="N5" s="645"/>
      <c r="O5" s="646"/>
    </row>
    <row r="6" spans="1:16" x14ac:dyDescent="0.25">
      <c r="A6" s="485">
        <v>9206017</v>
      </c>
      <c r="B6" s="636">
        <v>46</v>
      </c>
      <c r="C6" s="637">
        <f>+VrSlo!C5</f>
        <v>2721.69</v>
      </c>
      <c r="D6" s="638">
        <v>1</v>
      </c>
      <c r="E6" s="639">
        <f>+VrSlo!D5</f>
        <v>7184.0099999999984</v>
      </c>
      <c r="F6" s="640">
        <v>3</v>
      </c>
      <c r="G6" s="641">
        <v>24</v>
      </c>
      <c r="H6" s="639">
        <v>1458.39</v>
      </c>
      <c r="I6" s="642">
        <f t="shared" si="0"/>
        <v>0.53583986420202157</v>
      </c>
      <c r="J6" s="636">
        <f t="shared" si="1"/>
        <v>22</v>
      </c>
      <c r="K6" s="639">
        <v>1263.3</v>
      </c>
      <c r="L6" s="643">
        <f t="shared" si="2"/>
        <v>0.46416013579797843</v>
      </c>
      <c r="M6" s="644">
        <f t="shared" si="3"/>
        <v>2721.69</v>
      </c>
      <c r="N6" s="645"/>
      <c r="O6" s="646"/>
      <c r="P6" s="646"/>
    </row>
    <row r="7" spans="1:16" x14ac:dyDescent="0.25">
      <c r="A7" s="487">
        <v>9206022</v>
      </c>
      <c r="B7" s="647">
        <v>25</v>
      </c>
      <c r="C7" s="648">
        <f>+VrSlo!C6</f>
        <v>1701</v>
      </c>
      <c r="D7" s="649">
        <v>1</v>
      </c>
      <c r="E7" s="361">
        <f>+VrSlo!D6</f>
        <v>3999.3399999999988</v>
      </c>
      <c r="F7" s="650">
        <v>2</v>
      </c>
      <c r="G7" s="382">
        <v>0</v>
      </c>
      <c r="H7" s="361">
        <v>0</v>
      </c>
      <c r="I7" s="651">
        <f t="shared" si="0"/>
        <v>0</v>
      </c>
      <c r="J7" s="652">
        <f t="shared" si="1"/>
        <v>25</v>
      </c>
      <c r="K7" s="361">
        <f>+C7</f>
        <v>1701</v>
      </c>
      <c r="L7" s="643">
        <f t="shared" si="2"/>
        <v>1</v>
      </c>
      <c r="M7" s="644">
        <f t="shared" si="3"/>
        <v>1701</v>
      </c>
      <c r="N7" s="645"/>
    </row>
    <row r="8" spans="1:16" x14ac:dyDescent="0.25">
      <c r="A8" s="485">
        <v>9206023</v>
      </c>
      <c r="B8" s="636">
        <v>33</v>
      </c>
      <c r="C8" s="637">
        <f>+VrSlo!C7</f>
        <v>2167.4300000000003</v>
      </c>
      <c r="D8" s="638">
        <v>1</v>
      </c>
      <c r="E8" s="639">
        <f>+VrSlo!D7</f>
        <v>5039.9599999999991</v>
      </c>
      <c r="F8" s="640">
        <v>2</v>
      </c>
      <c r="G8" s="641">
        <v>0</v>
      </c>
      <c r="H8" s="639">
        <v>0</v>
      </c>
      <c r="I8" s="642">
        <f t="shared" si="0"/>
        <v>0</v>
      </c>
      <c r="J8" s="636">
        <f t="shared" si="1"/>
        <v>33</v>
      </c>
      <c r="K8" s="639">
        <f>+C8</f>
        <v>2167.4300000000003</v>
      </c>
      <c r="L8" s="643">
        <f t="shared" si="2"/>
        <v>1</v>
      </c>
      <c r="M8" s="644">
        <f t="shared" si="3"/>
        <v>2167.4300000000003</v>
      </c>
      <c r="N8" s="645"/>
      <c r="O8" s="646"/>
      <c r="P8" s="646"/>
    </row>
    <row r="9" spans="1:16" x14ac:dyDescent="0.25">
      <c r="A9" s="487">
        <v>9206025</v>
      </c>
      <c r="B9" s="647">
        <v>19</v>
      </c>
      <c r="C9" s="648">
        <f>+VrSlo!C8</f>
        <v>1276.04</v>
      </c>
      <c r="D9" s="649">
        <v>1</v>
      </c>
      <c r="E9" s="361">
        <f>+VrSlo!D8</f>
        <v>3621.0199999999995</v>
      </c>
      <c r="F9" s="650">
        <v>3</v>
      </c>
      <c r="G9" s="382">
        <v>19</v>
      </c>
      <c r="H9" s="361">
        <f>+C9</f>
        <v>1276.04</v>
      </c>
      <c r="I9" s="651">
        <f t="shared" si="0"/>
        <v>1</v>
      </c>
      <c r="J9" s="652">
        <f t="shared" si="1"/>
        <v>0</v>
      </c>
      <c r="K9" s="361">
        <v>0</v>
      </c>
      <c r="L9" s="643">
        <f t="shared" si="2"/>
        <v>0</v>
      </c>
      <c r="M9" s="644">
        <f t="shared" si="3"/>
        <v>1276.04</v>
      </c>
      <c r="N9" s="645"/>
    </row>
    <row r="10" spans="1:16" x14ac:dyDescent="0.25">
      <c r="A10" s="485">
        <v>9206026</v>
      </c>
      <c r="B10" s="636">
        <v>19</v>
      </c>
      <c r="C10" s="637">
        <f>+VrSlo!C9</f>
        <v>1297.48</v>
      </c>
      <c r="D10" s="638">
        <v>1</v>
      </c>
      <c r="E10" s="639">
        <f>+VrSlo!D9</f>
        <v>4528.3100000000004</v>
      </c>
      <c r="F10" s="640">
        <v>3</v>
      </c>
      <c r="G10" s="641">
        <v>19</v>
      </c>
      <c r="H10" s="639">
        <f>+C10</f>
        <v>1297.48</v>
      </c>
      <c r="I10" s="642">
        <f t="shared" si="0"/>
        <v>1</v>
      </c>
      <c r="J10" s="636">
        <f t="shared" si="1"/>
        <v>0</v>
      </c>
      <c r="K10" s="639">
        <v>0</v>
      </c>
      <c r="L10" s="643">
        <f t="shared" si="2"/>
        <v>0</v>
      </c>
      <c r="M10" s="644">
        <f t="shared" si="3"/>
        <v>1297.48</v>
      </c>
      <c r="N10" s="645"/>
    </row>
    <row r="11" spans="1:16" x14ac:dyDescent="0.25">
      <c r="A11" s="487">
        <v>9206027</v>
      </c>
      <c r="B11" s="647">
        <v>29</v>
      </c>
      <c r="C11" s="648">
        <f>+VrSlo!C10</f>
        <v>2215.1799999999998</v>
      </c>
      <c r="D11" s="649">
        <v>1</v>
      </c>
      <c r="E11" s="361">
        <f>+VrSlo!D10</f>
        <v>5844.15</v>
      </c>
      <c r="F11" s="650">
        <v>3</v>
      </c>
      <c r="G11" s="382">
        <v>8</v>
      </c>
      <c r="H11" s="361">
        <v>721.77</v>
      </c>
      <c r="I11" s="651">
        <f t="shared" si="0"/>
        <v>0.325829052266633</v>
      </c>
      <c r="J11" s="652">
        <f t="shared" si="1"/>
        <v>21</v>
      </c>
      <c r="K11" s="361">
        <v>1493.42</v>
      </c>
      <c r="L11" s="643">
        <f t="shared" si="2"/>
        <v>0.67417546203920231</v>
      </c>
      <c r="M11" s="644">
        <f t="shared" si="3"/>
        <v>2215.19</v>
      </c>
      <c r="N11" s="645"/>
      <c r="O11" s="646"/>
      <c r="P11" s="646"/>
    </row>
    <row r="12" spans="1:16" x14ac:dyDescent="0.25">
      <c r="A12" s="485">
        <v>9206028</v>
      </c>
      <c r="B12" s="636">
        <v>42</v>
      </c>
      <c r="C12" s="637">
        <f>+VrSlo!C11</f>
        <v>2670.26</v>
      </c>
      <c r="D12" s="638">
        <v>1</v>
      </c>
      <c r="E12" s="639">
        <f>+VrSlo!D11</f>
        <v>7510.25</v>
      </c>
      <c r="F12" s="640">
        <v>3</v>
      </c>
      <c r="G12" s="641">
        <v>9</v>
      </c>
      <c r="H12" s="639">
        <v>718.82</v>
      </c>
      <c r="I12" s="642">
        <f t="shared" si="0"/>
        <v>0.26919476006081805</v>
      </c>
      <c r="J12" s="636">
        <f t="shared" si="1"/>
        <v>33</v>
      </c>
      <c r="K12" s="639">
        <v>1951.43</v>
      </c>
      <c r="L12" s="643">
        <f t="shared" si="2"/>
        <v>0.73080149498550695</v>
      </c>
      <c r="M12" s="644">
        <f t="shared" si="3"/>
        <v>2670.25</v>
      </c>
      <c r="N12" s="645"/>
    </row>
    <row r="13" spans="1:16" ht="13.8" thickBot="1" x14ac:dyDescent="0.3">
      <c r="A13" s="653" t="s">
        <v>2</v>
      </c>
      <c r="B13" s="654">
        <f>SUM(B4:B12)</f>
        <v>289</v>
      </c>
      <c r="C13" s="655">
        <f>SUM(C4:C12)</f>
        <v>19374.050000000003</v>
      </c>
      <c r="D13" s="656">
        <v>1</v>
      </c>
      <c r="E13" s="657">
        <f>SUM(E4:E12)</f>
        <v>52031.049999999996</v>
      </c>
      <c r="F13" s="658">
        <f>SUM(F4:F12)/9</f>
        <v>2.7777777777777777</v>
      </c>
      <c r="G13" s="659">
        <f>SUM(G4:G12)</f>
        <v>128</v>
      </c>
      <c r="H13" s="199">
        <f>SUM(H4:H12)</f>
        <v>8655.44</v>
      </c>
      <c r="I13" s="656">
        <f>+H13/C13</f>
        <v>0.44675429246853388</v>
      </c>
      <c r="J13" s="659">
        <f>SUM(J4:J12)</f>
        <v>161</v>
      </c>
      <c r="K13" s="199">
        <f>SUM(K4:K12)</f>
        <v>10718.61</v>
      </c>
      <c r="L13" s="660">
        <f>+K13/C13</f>
        <v>0.55324570753146596</v>
      </c>
      <c r="M13" s="644">
        <f>+H13+K13</f>
        <v>19374.050000000003</v>
      </c>
      <c r="N13" s="645">
        <f>+C13-M13</f>
        <v>0</v>
      </c>
      <c r="O13" s="646"/>
      <c r="P13" s="646"/>
    </row>
    <row r="14" spans="1:16" ht="13.8" thickBot="1" x14ac:dyDescent="0.3">
      <c r="I14" s="661"/>
      <c r="J14" s="662"/>
    </row>
    <row r="15" spans="1:16" ht="15.6" x14ac:dyDescent="0.3">
      <c r="A15" s="1211" t="s">
        <v>496</v>
      </c>
      <c r="B15" s="1208"/>
      <c r="C15" s="1208"/>
      <c r="D15" s="1208"/>
      <c r="E15" s="1208"/>
      <c r="F15" s="1209"/>
      <c r="H15" s="1130"/>
      <c r="I15" s="1131"/>
      <c r="J15" s="1131"/>
      <c r="K15" s="1130"/>
    </row>
    <row r="16" spans="1:16" ht="26.4" x14ac:dyDescent="0.25">
      <c r="A16" s="664" t="s">
        <v>0</v>
      </c>
      <c r="B16" s="665" t="s">
        <v>82</v>
      </c>
      <c r="C16" s="665" t="s">
        <v>96</v>
      </c>
      <c r="D16" s="665"/>
      <c r="E16" s="665" t="s">
        <v>97</v>
      </c>
      <c r="F16" s="666" t="s">
        <v>3</v>
      </c>
      <c r="H16" s="663"/>
      <c r="J16" s="635"/>
      <c r="K16" s="667"/>
      <c r="M16" s="668"/>
    </row>
    <row r="17" spans="1:11" ht="13.8" thickBot="1" x14ac:dyDescent="0.3">
      <c r="A17" s="653">
        <v>9206093</v>
      </c>
      <c r="B17" s="669">
        <v>1</v>
      </c>
      <c r="C17" s="657">
        <v>799.55</v>
      </c>
      <c r="D17" s="658"/>
      <c r="E17" s="657">
        <v>833</v>
      </c>
      <c r="F17" s="670">
        <v>2</v>
      </c>
      <c r="I17" s="671"/>
      <c r="J17" s="672"/>
      <c r="K17" s="673"/>
    </row>
    <row r="18" spans="1:11" ht="13.8" thickBot="1" x14ac:dyDescent="0.3">
      <c r="H18" s="635"/>
      <c r="K18" s="635"/>
    </row>
    <row r="19" spans="1:11" ht="16.2" thickBot="1" x14ac:dyDescent="0.35">
      <c r="A19" s="674"/>
      <c r="B19" s="674"/>
      <c r="C19" s="675"/>
      <c r="D19" s="1207" t="s">
        <v>337</v>
      </c>
      <c r="E19" s="1208"/>
      <c r="F19" s="1208" t="s">
        <v>338</v>
      </c>
      <c r="G19" s="1209"/>
      <c r="K19" s="663"/>
    </row>
    <row r="20" spans="1:11" ht="26.4" x14ac:dyDescent="0.25">
      <c r="A20" s="676" t="s">
        <v>0</v>
      </c>
      <c r="B20" s="677" t="s">
        <v>82</v>
      </c>
      <c r="C20" s="677" t="s">
        <v>5</v>
      </c>
      <c r="D20" s="158" t="s">
        <v>83</v>
      </c>
      <c r="E20" s="158" t="s">
        <v>5</v>
      </c>
      <c r="F20" s="158" t="s">
        <v>83</v>
      </c>
      <c r="G20" s="270" t="s">
        <v>5</v>
      </c>
      <c r="K20" s="671"/>
    </row>
    <row r="21" spans="1:11" x14ac:dyDescent="0.25">
      <c r="A21" s="381">
        <v>9206015</v>
      </c>
      <c r="B21" s="382">
        <v>36</v>
      </c>
      <c r="C21" s="477">
        <v>1</v>
      </c>
      <c r="D21" s="382">
        <f>+G4</f>
        <v>24</v>
      </c>
      <c r="E21" s="678">
        <f t="shared" ref="E21:E30" si="4">+D21*C21/B21</f>
        <v>0.66666666666666663</v>
      </c>
      <c r="F21" s="679">
        <f>+J4</f>
        <v>12</v>
      </c>
      <c r="G21" s="680">
        <f>+F21*C21/B21</f>
        <v>0.33333333333333331</v>
      </c>
    </row>
    <row r="22" spans="1:11" x14ac:dyDescent="0.25">
      <c r="A22" s="381">
        <v>9206016</v>
      </c>
      <c r="B22" s="382">
        <v>40</v>
      </c>
      <c r="C22" s="477">
        <v>1</v>
      </c>
      <c r="D22" s="382">
        <f t="shared" ref="D22:D29" si="5">+G5</f>
        <v>25</v>
      </c>
      <c r="E22" s="573">
        <f t="shared" si="4"/>
        <v>0.625</v>
      </c>
      <c r="F22" s="382">
        <f t="shared" ref="F22:F29" si="6">+J5</f>
        <v>15</v>
      </c>
      <c r="G22" s="680">
        <f t="shared" ref="G22:G30" si="7">+F22*C22/B22</f>
        <v>0.375</v>
      </c>
    </row>
    <row r="23" spans="1:11" x14ac:dyDescent="0.25">
      <c r="A23" s="381">
        <v>9206017</v>
      </c>
      <c r="B23" s="382">
        <v>46</v>
      </c>
      <c r="C23" s="477">
        <v>1</v>
      </c>
      <c r="D23" s="382">
        <f t="shared" si="5"/>
        <v>24</v>
      </c>
      <c r="E23" s="573">
        <f t="shared" si="4"/>
        <v>0.52173913043478259</v>
      </c>
      <c r="F23" s="382">
        <f t="shared" si="6"/>
        <v>22</v>
      </c>
      <c r="G23" s="680">
        <f t="shared" si="7"/>
        <v>0.47826086956521741</v>
      </c>
    </row>
    <row r="24" spans="1:11" x14ac:dyDescent="0.25">
      <c r="A24" s="381">
        <v>9206022</v>
      </c>
      <c r="B24" s="382">
        <v>25</v>
      </c>
      <c r="C24" s="477">
        <v>1</v>
      </c>
      <c r="D24" s="382">
        <f t="shared" si="5"/>
        <v>0</v>
      </c>
      <c r="E24" s="573">
        <f t="shared" si="4"/>
        <v>0</v>
      </c>
      <c r="F24" s="382">
        <f t="shared" si="6"/>
        <v>25</v>
      </c>
      <c r="G24" s="680">
        <f t="shared" si="7"/>
        <v>1</v>
      </c>
    </row>
    <row r="25" spans="1:11" x14ac:dyDescent="0.25">
      <c r="A25" s="381">
        <v>9206023</v>
      </c>
      <c r="B25" s="382">
        <v>33</v>
      </c>
      <c r="C25" s="477">
        <v>1</v>
      </c>
      <c r="D25" s="382">
        <f t="shared" si="5"/>
        <v>0</v>
      </c>
      <c r="E25" s="573">
        <f t="shared" si="4"/>
        <v>0</v>
      </c>
      <c r="F25" s="382">
        <f t="shared" si="6"/>
        <v>33</v>
      </c>
      <c r="G25" s="680">
        <f t="shared" si="7"/>
        <v>1</v>
      </c>
    </row>
    <row r="26" spans="1:11" x14ac:dyDescent="0.25">
      <c r="A26" s="381">
        <v>9206025</v>
      </c>
      <c r="B26" s="382">
        <v>19</v>
      </c>
      <c r="C26" s="477">
        <v>1</v>
      </c>
      <c r="D26" s="382">
        <f t="shared" si="5"/>
        <v>19</v>
      </c>
      <c r="E26" s="573">
        <f t="shared" si="4"/>
        <v>1</v>
      </c>
      <c r="F26" s="382">
        <f t="shared" si="6"/>
        <v>0</v>
      </c>
      <c r="G26" s="680">
        <f t="shared" si="7"/>
        <v>0</v>
      </c>
    </row>
    <row r="27" spans="1:11" x14ac:dyDescent="0.25">
      <c r="A27" s="381">
        <v>9206026</v>
      </c>
      <c r="B27" s="382">
        <v>19</v>
      </c>
      <c r="C27" s="477">
        <v>1</v>
      </c>
      <c r="D27" s="382">
        <f t="shared" si="5"/>
        <v>19</v>
      </c>
      <c r="E27" s="573">
        <f t="shared" si="4"/>
        <v>1</v>
      </c>
      <c r="F27" s="382">
        <f t="shared" si="6"/>
        <v>0</v>
      </c>
      <c r="G27" s="680">
        <f t="shared" si="7"/>
        <v>0</v>
      </c>
    </row>
    <row r="28" spans="1:11" x14ac:dyDescent="0.25">
      <c r="A28" s="381">
        <v>9206027</v>
      </c>
      <c r="B28" s="382">
        <v>29</v>
      </c>
      <c r="C28" s="477">
        <v>1</v>
      </c>
      <c r="D28" s="382">
        <f t="shared" si="5"/>
        <v>8</v>
      </c>
      <c r="E28" s="573">
        <f t="shared" si="4"/>
        <v>0.27586206896551724</v>
      </c>
      <c r="F28" s="382">
        <f t="shared" si="6"/>
        <v>21</v>
      </c>
      <c r="G28" s="680">
        <f t="shared" si="7"/>
        <v>0.72413793103448276</v>
      </c>
    </row>
    <row r="29" spans="1:11" x14ac:dyDescent="0.25">
      <c r="A29" s="381">
        <v>9206028</v>
      </c>
      <c r="B29" s="382">
        <v>42</v>
      </c>
      <c r="C29" s="477">
        <v>1</v>
      </c>
      <c r="D29" s="382">
        <f t="shared" si="5"/>
        <v>9</v>
      </c>
      <c r="E29" s="573">
        <f t="shared" si="4"/>
        <v>0.21428571428571427</v>
      </c>
      <c r="F29" s="382">
        <f t="shared" si="6"/>
        <v>33</v>
      </c>
      <c r="G29" s="680">
        <f t="shared" si="7"/>
        <v>0.7857142857142857</v>
      </c>
    </row>
    <row r="30" spans="1:11" ht="26.4" x14ac:dyDescent="0.25">
      <c r="A30" s="681" t="s">
        <v>440</v>
      </c>
      <c r="B30" s="239">
        <f>SUM(B21:B29)</f>
        <v>289</v>
      </c>
      <c r="C30" s="682">
        <v>1</v>
      </c>
      <c r="D30" s="239">
        <f>SUM(D21:D29)</f>
        <v>128</v>
      </c>
      <c r="E30" s="683">
        <f t="shared" si="4"/>
        <v>0.44290657439446368</v>
      </c>
      <c r="F30" s="239">
        <f>SUM(F21:F29)</f>
        <v>161</v>
      </c>
      <c r="G30" s="684">
        <f t="shared" si="7"/>
        <v>0.55709342560553632</v>
      </c>
    </row>
    <row r="31" spans="1:11" ht="27" thickBot="1" x14ac:dyDescent="0.3">
      <c r="A31" s="685" t="s">
        <v>441</v>
      </c>
      <c r="B31" s="659">
        <v>535</v>
      </c>
      <c r="C31" s="656">
        <v>1</v>
      </c>
      <c r="D31" s="686">
        <f>+B31*E31</f>
        <v>236.95501730103808</v>
      </c>
      <c r="E31" s="687">
        <f>+E30</f>
        <v>0.44290657439446368</v>
      </c>
      <c r="F31" s="686">
        <f>+B31*G31</f>
        <v>298.04498269896192</v>
      </c>
      <c r="G31" s="688">
        <f>+G30</f>
        <v>0.55709342560553632</v>
      </c>
    </row>
    <row r="32" spans="1:11" ht="13.8" thickBot="1" x14ac:dyDescent="0.3"/>
    <row r="33" spans="1:7" ht="15.6" x14ac:dyDescent="0.3">
      <c r="A33" s="1211" t="s">
        <v>332</v>
      </c>
      <c r="B33" s="1208"/>
      <c r="C33" s="1208"/>
      <c r="D33" s="1208"/>
      <c r="E33" s="1208"/>
      <c r="F33" s="1208"/>
      <c r="G33" s="1209"/>
    </row>
    <row r="34" spans="1:7" x14ac:dyDescent="0.25">
      <c r="A34" s="1218"/>
      <c r="B34" s="1214"/>
      <c r="C34" s="1214"/>
      <c r="D34" s="1214"/>
      <c r="E34" s="1214"/>
      <c r="F34" s="1214"/>
      <c r="G34" s="1219"/>
    </row>
    <row r="35" spans="1:7" x14ac:dyDescent="0.25">
      <c r="A35" s="704" t="s">
        <v>4</v>
      </c>
      <c r="B35" s="239" t="s">
        <v>337</v>
      </c>
      <c r="C35" s="239" t="s">
        <v>5</v>
      </c>
      <c r="D35" s="239" t="s">
        <v>338</v>
      </c>
      <c r="E35" s="239" t="s">
        <v>5</v>
      </c>
      <c r="F35" s="239" t="s">
        <v>33</v>
      </c>
      <c r="G35" s="240" t="s">
        <v>5</v>
      </c>
    </row>
    <row r="36" spans="1:7" x14ac:dyDescent="0.25">
      <c r="A36" s="618" t="s">
        <v>83</v>
      </c>
      <c r="B36" s="382">
        <f>+G13</f>
        <v>128</v>
      </c>
      <c r="C36" s="477">
        <f>+B36/F36</f>
        <v>0.44290657439446368</v>
      </c>
      <c r="D36" s="382">
        <f>+J13</f>
        <v>161</v>
      </c>
      <c r="E36" s="477">
        <f>+D36/F36</f>
        <v>0.55709342560553632</v>
      </c>
      <c r="F36" s="382">
        <f>+B36+D36</f>
        <v>289</v>
      </c>
      <c r="G36" s="478">
        <f>+F36/F36</f>
        <v>1</v>
      </c>
    </row>
    <row r="37" spans="1:7" x14ac:dyDescent="0.25">
      <c r="A37" s="618" t="s">
        <v>334</v>
      </c>
      <c r="B37" s="382">
        <f>ROUND(+F37*C37,0)</f>
        <v>237</v>
      </c>
      <c r="C37" s="689">
        <f>+C36</f>
        <v>0.44290657439446368</v>
      </c>
      <c r="D37" s="382">
        <f>+ROUND(F37*E37,0)</f>
        <v>298</v>
      </c>
      <c r="E37" s="689">
        <f>+E36</f>
        <v>0.55709342560553632</v>
      </c>
      <c r="F37" s="382">
        <v>535</v>
      </c>
      <c r="G37" s="478">
        <f>+F37/F37</f>
        <v>1</v>
      </c>
    </row>
    <row r="38" spans="1:7" x14ac:dyDescent="0.25">
      <c r="A38" s="1216"/>
      <c r="B38" s="1214"/>
      <c r="C38" s="1214"/>
      <c r="D38" s="1214"/>
      <c r="E38" s="1214"/>
      <c r="F38" s="1214"/>
      <c r="G38" s="1217"/>
    </row>
    <row r="39" spans="1:7" x14ac:dyDescent="0.25">
      <c r="A39" s="690"/>
      <c r="B39" s="1212" t="s">
        <v>337</v>
      </c>
      <c r="C39" s="1212"/>
      <c r="D39" s="1212"/>
      <c r="E39" s="1212"/>
      <c r="F39" s="1212"/>
      <c r="G39" s="691"/>
    </row>
    <row r="40" spans="1:7" x14ac:dyDescent="0.25">
      <c r="A40" s="690"/>
      <c r="B40" s="692"/>
      <c r="C40" s="239" t="s">
        <v>83</v>
      </c>
      <c r="D40" s="239" t="s">
        <v>5</v>
      </c>
      <c r="E40" s="239" t="s">
        <v>334</v>
      </c>
      <c r="F40" s="239" t="s">
        <v>5</v>
      </c>
      <c r="G40" s="691"/>
    </row>
    <row r="41" spans="1:7" x14ac:dyDescent="0.25">
      <c r="A41" s="690"/>
      <c r="B41" s="693" t="s">
        <v>333</v>
      </c>
      <c r="C41" s="334">
        <f>+G4+G5+G6</f>
        <v>73</v>
      </c>
      <c r="D41" s="694">
        <f>+C41/C43</f>
        <v>0.5703125</v>
      </c>
      <c r="E41" s="382">
        <f>+ROUND(B37*D41,0)</f>
        <v>135</v>
      </c>
      <c r="F41" s="477">
        <f>+E41/E43</f>
        <v>0.569620253164557</v>
      </c>
      <c r="G41" s="691"/>
    </row>
    <row r="42" spans="1:7" x14ac:dyDescent="0.25">
      <c r="A42" s="690"/>
      <c r="B42" s="693" t="s">
        <v>335</v>
      </c>
      <c r="C42" s="334">
        <f>+G9+G10+G11+G12</f>
        <v>55</v>
      </c>
      <c r="D42" s="694">
        <f>+C42/C43</f>
        <v>0.4296875</v>
      </c>
      <c r="E42" s="382">
        <f>+ROUND(B37*D42,0)</f>
        <v>102</v>
      </c>
      <c r="F42" s="477">
        <f>+E42/E43</f>
        <v>0.43037974683544306</v>
      </c>
      <c r="G42" s="691"/>
    </row>
    <row r="43" spans="1:7" x14ac:dyDescent="0.25">
      <c r="A43" s="690"/>
      <c r="B43" s="693" t="s">
        <v>336</v>
      </c>
      <c r="C43" s="695">
        <f>+C41+C42</f>
        <v>128</v>
      </c>
      <c r="D43" s="696">
        <f>+C43/C43</f>
        <v>1</v>
      </c>
      <c r="E43" s="372">
        <f>+E41+E42</f>
        <v>237</v>
      </c>
      <c r="F43" s="697">
        <f>+E43/E43</f>
        <v>1</v>
      </c>
      <c r="G43" s="691"/>
    </row>
    <row r="44" spans="1:7" x14ac:dyDescent="0.25">
      <c r="A44" s="1213"/>
      <c r="B44" s="1214"/>
      <c r="C44" s="1214"/>
      <c r="D44" s="1214"/>
      <c r="E44" s="1214"/>
      <c r="F44" s="1214"/>
      <c r="G44" s="1215"/>
    </row>
    <row r="45" spans="1:7" x14ac:dyDescent="0.25">
      <c r="A45" s="690"/>
      <c r="B45" s="1212" t="s">
        <v>338</v>
      </c>
      <c r="C45" s="1212"/>
      <c r="D45" s="1212"/>
      <c r="E45" s="1212"/>
      <c r="F45" s="1212"/>
      <c r="G45" s="691"/>
    </row>
    <row r="46" spans="1:7" x14ac:dyDescent="0.25">
      <c r="A46" s="690"/>
      <c r="B46" s="692"/>
      <c r="C46" s="239" t="s">
        <v>83</v>
      </c>
      <c r="D46" s="239" t="s">
        <v>5</v>
      </c>
      <c r="E46" s="239" t="s">
        <v>334</v>
      </c>
      <c r="F46" s="239" t="s">
        <v>5</v>
      </c>
      <c r="G46" s="691"/>
    </row>
    <row r="47" spans="1:7" x14ac:dyDescent="0.25">
      <c r="A47" s="690"/>
      <c r="B47" s="693" t="s">
        <v>333</v>
      </c>
      <c r="C47" s="271">
        <f>+J4+J5+J6</f>
        <v>49</v>
      </c>
      <c r="D47" s="694">
        <f>+C47/C49</f>
        <v>0.30434782608695654</v>
      </c>
      <c r="E47" s="382">
        <f>+ROUND(D37*D47,0)</f>
        <v>91</v>
      </c>
      <c r="F47" s="694">
        <f>+E47/E49</f>
        <v>0.30536912751677853</v>
      </c>
      <c r="G47" s="691"/>
    </row>
    <row r="48" spans="1:7" x14ac:dyDescent="0.25">
      <c r="A48" s="690"/>
      <c r="B48" s="693" t="s">
        <v>335</v>
      </c>
      <c r="C48" s="271">
        <f>+J7+J8+J11+J12</f>
        <v>112</v>
      </c>
      <c r="D48" s="694">
        <f>+C48/C49</f>
        <v>0.69565217391304346</v>
      </c>
      <c r="E48" s="382">
        <f>+ROUND(D37*D48,0)</f>
        <v>207</v>
      </c>
      <c r="F48" s="694">
        <f>+E48/E49</f>
        <v>0.69463087248322153</v>
      </c>
      <c r="G48" s="691"/>
    </row>
    <row r="49" spans="1:7" ht="13.8" thickBot="1" x14ac:dyDescent="0.3">
      <c r="A49" s="698"/>
      <c r="B49" s="699" t="s">
        <v>336</v>
      </c>
      <c r="C49" s="700">
        <f>+C47+C48</f>
        <v>161</v>
      </c>
      <c r="D49" s="701">
        <f>+C49/C49</f>
        <v>1</v>
      </c>
      <c r="E49" s="702">
        <f>+E47+E48</f>
        <v>298</v>
      </c>
      <c r="F49" s="701">
        <f>+E49/E49</f>
        <v>1</v>
      </c>
      <c r="G49" s="703"/>
    </row>
    <row r="50" spans="1:7" ht="13.8" thickBot="1" x14ac:dyDescent="0.3"/>
    <row r="51" spans="1:7" x14ac:dyDescent="0.25">
      <c r="A51" s="1199" t="s">
        <v>452</v>
      </c>
      <c r="B51" s="1200"/>
    </row>
    <row r="52" spans="1:7" x14ac:dyDescent="0.25">
      <c r="A52" s="1201"/>
      <c r="B52" s="1202"/>
    </row>
    <row r="53" spans="1:7" x14ac:dyDescent="0.25">
      <c r="A53" s="839" t="s">
        <v>453</v>
      </c>
      <c r="B53" s="840">
        <v>3</v>
      </c>
    </row>
    <row r="54" spans="1:7" x14ac:dyDescent="0.25">
      <c r="A54" s="839" t="s">
        <v>454</v>
      </c>
      <c r="B54" s="840">
        <v>26</v>
      </c>
    </row>
    <row r="55" spans="1:7" x14ac:dyDescent="0.25">
      <c r="A55" s="839" t="s">
        <v>455</v>
      </c>
      <c r="B55" s="840">
        <v>68</v>
      </c>
    </row>
    <row r="56" spans="1:7" x14ac:dyDescent="0.25">
      <c r="A56" s="839" t="s">
        <v>456</v>
      </c>
      <c r="B56" s="840">
        <v>134</v>
      </c>
    </row>
    <row r="57" spans="1:7" x14ac:dyDescent="0.25">
      <c r="A57" s="839" t="s">
        <v>457</v>
      </c>
      <c r="B57" s="840">
        <v>55</v>
      </c>
    </row>
    <row r="58" spans="1:7" ht="13.8" thickBot="1" x14ac:dyDescent="0.3">
      <c r="A58" s="1004" t="s">
        <v>458</v>
      </c>
      <c r="B58" s="1005">
        <v>3</v>
      </c>
    </row>
    <row r="59" spans="1:7" ht="13.8" thickBot="1" x14ac:dyDescent="0.3">
      <c r="B59" s="1006">
        <f>SUM(B53:B58)</f>
        <v>289</v>
      </c>
    </row>
    <row r="63" spans="1:7" ht="13.8" thickBot="1" x14ac:dyDescent="0.3"/>
    <row r="64" spans="1:7" ht="13.8" thickBot="1" x14ac:dyDescent="0.3">
      <c r="A64" s="1196" t="s">
        <v>461</v>
      </c>
      <c r="B64" s="1197"/>
      <c r="C64" s="1198"/>
    </row>
    <row r="65" spans="1:3" x14ac:dyDescent="0.25">
      <c r="A65" s="1084" t="s">
        <v>462</v>
      </c>
      <c r="B65" s="1085">
        <v>225</v>
      </c>
      <c r="C65" s="1087">
        <f>+B65/B$70</f>
        <v>0.77586206896551724</v>
      </c>
    </row>
    <row r="66" spans="1:3" x14ac:dyDescent="0.25">
      <c r="A66" s="1082" t="s">
        <v>465</v>
      </c>
      <c r="B66" s="1081">
        <v>32</v>
      </c>
      <c r="C66" s="478">
        <f t="shared" ref="C66:C69" si="8">+B66/B$70</f>
        <v>0.1103448275862069</v>
      </c>
    </row>
    <row r="67" spans="1:3" x14ac:dyDescent="0.25">
      <c r="A67" s="1082" t="s">
        <v>464</v>
      </c>
      <c r="B67" s="1081">
        <v>24</v>
      </c>
      <c r="C67" s="478">
        <f t="shared" si="8"/>
        <v>8.2758620689655171E-2</v>
      </c>
    </row>
    <row r="68" spans="1:3" x14ac:dyDescent="0.25">
      <c r="A68" s="1082" t="s">
        <v>463</v>
      </c>
      <c r="B68" s="1081">
        <v>8</v>
      </c>
      <c r="C68" s="478">
        <f t="shared" si="8"/>
        <v>2.7586206896551724E-2</v>
      </c>
    </row>
    <row r="69" spans="1:3" x14ac:dyDescent="0.25">
      <c r="A69" s="1082" t="s">
        <v>466</v>
      </c>
      <c r="B69" s="1081">
        <v>1</v>
      </c>
      <c r="C69" s="1088">
        <f t="shared" si="8"/>
        <v>3.4482758620689655E-3</v>
      </c>
    </row>
    <row r="70" spans="1:3" ht="13.8" thickBot="1" x14ac:dyDescent="0.3">
      <c r="A70" s="653" t="s">
        <v>2</v>
      </c>
      <c r="B70" s="1086">
        <f>SUM(B65:B69)</f>
        <v>290</v>
      </c>
      <c r="C70" s="1089">
        <f>+B70/B70</f>
        <v>1</v>
      </c>
    </row>
  </sheetData>
  <sheetProtection algorithmName="SHA-512" hashValue="YHvukFwsHCG3bmMhltVee5I9wv/I+3AYtutpQJ3sdZVWYcNuELIrOoRrLcxlIAQY8OcX2/5nb2mpvIdFOuWHCQ==" saltValue="S9ozVcxEgXhGlne7wNq2JA==" spinCount="100000" sheet="1" objects="1" scenarios="1" selectLockedCells="1" selectUnlockedCells="1"/>
  <mergeCells count="15">
    <mergeCell ref="A64:C64"/>
    <mergeCell ref="A51:B52"/>
    <mergeCell ref="A1:L1"/>
    <mergeCell ref="B2:F2"/>
    <mergeCell ref="D19:E19"/>
    <mergeCell ref="F19:G19"/>
    <mergeCell ref="J2:L2"/>
    <mergeCell ref="G2:I2"/>
    <mergeCell ref="A15:F15"/>
    <mergeCell ref="A33:G33"/>
    <mergeCell ref="B39:F39"/>
    <mergeCell ref="B45:F45"/>
    <mergeCell ref="A44:G44"/>
    <mergeCell ref="A38:G38"/>
    <mergeCell ref="A34:G34"/>
  </mergeCells>
  <phoneticPr fontId="3" type="noConversion"/>
  <pageMargins left="0.70866141732283472" right="0.70866141732283472" top="0.74803149606299213" bottom="0.74803149606299213" header="0.31496062992125984" footer="0.31496062992125984"/>
  <pageSetup scale="46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F24"/>
  <sheetViews>
    <sheetView zoomScaleNormal="100" workbookViewId="0">
      <selection activeCell="G21" sqref="G21"/>
    </sheetView>
  </sheetViews>
  <sheetFormatPr baseColWidth="10" defaultRowHeight="14.4" x14ac:dyDescent="0.3"/>
  <cols>
    <col min="1" max="1" width="34" bestFit="1" customWidth="1"/>
    <col min="2" max="2" width="10.44140625" bestFit="1" customWidth="1"/>
    <col min="3" max="3" width="9" bestFit="1" customWidth="1"/>
  </cols>
  <sheetData>
    <row r="1" spans="1:3" ht="15.6" x14ac:dyDescent="0.3">
      <c r="A1" s="1220" t="s">
        <v>398</v>
      </c>
      <c r="B1" s="1221"/>
      <c r="C1" s="2"/>
    </row>
    <row r="2" spans="1:3" ht="15" thickBot="1" x14ac:dyDescent="0.35">
      <c r="A2" s="490" t="s">
        <v>341</v>
      </c>
      <c r="B2" s="493">
        <f>+B4+B17</f>
        <v>13040.62</v>
      </c>
      <c r="C2" s="2"/>
    </row>
    <row r="3" spans="1:3" s="47" customFormat="1" ht="8.1" customHeight="1" thickBot="1" x14ac:dyDescent="0.35">
      <c r="A3" s="1222"/>
      <c r="B3" s="1223"/>
      <c r="C3" s="2"/>
    </row>
    <row r="4" spans="1:3" x14ac:dyDescent="0.3">
      <c r="A4" s="496" t="s">
        <v>339</v>
      </c>
      <c r="B4" s="497">
        <f>SUM(B5:B15)</f>
        <v>6654.2900000000009</v>
      </c>
      <c r="C4" s="2"/>
    </row>
    <row r="5" spans="1:3" x14ac:dyDescent="0.3">
      <c r="A5" s="488" t="s">
        <v>98</v>
      </c>
      <c r="B5" s="340">
        <v>47.81</v>
      </c>
      <c r="C5" s="2"/>
    </row>
    <row r="6" spans="1:3" x14ac:dyDescent="0.3">
      <c r="A6" s="486" t="s">
        <v>7</v>
      </c>
      <c r="B6" s="494">
        <v>513.20000000000005</v>
      </c>
      <c r="C6" s="2"/>
    </row>
    <row r="7" spans="1:3" x14ac:dyDescent="0.3">
      <c r="A7" s="486" t="s">
        <v>8</v>
      </c>
      <c r="B7" s="494">
        <v>680.97</v>
      </c>
      <c r="C7" s="2"/>
    </row>
    <row r="8" spans="1:3" x14ac:dyDescent="0.3">
      <c r="A8" s="486" t="s">
        <v>9</v>
      </c>
      <c r="B8" s="494">
        <v>617.94000000000005</v>
      </c>
      <c r="C8" s="2"/>
    </row>
    <row r="9" spans="1:3" x14ac:dyDescent="0.3">
      <c r="A9" s="486" t="s">
        <v>15</v>
      </c>
      <c r="B9" s="494">
        <v>327.8</v>
      </c>
      <c r="C9" s="2"/>
    </row>
    <row r="10" spans="1:3" x14ac:dyDescent="0.3">
      <c r="A10" s="486" t="s">
        <v>16</v>
      </c>
      <c r="B10" s="494">
        <v>71.02</v>
      </c>
      <c r="C10" s="2"/>
    </row>
    <row r="11" spans="1:3" x14ac:dyDescent="0.3">
      <c r="A11" s="486" t="s">
        <v>14</v>
      </c>
      <c r="B11" s="494">
        <v>326.20999999999998</v>
      </c>
      <c r="C11" s="2"/>
    </row>
    <row r="12" spans="1:3" x14ac:dyDescent="0.3">
      <c r="A12" s="486" t="s">
        <v>13</v>
      </c>
      <c r="B12" s="494">
        <v>1750.9</v>
      </c>
      <c r="C12" s="2"/>
    </row>
    <row r="13" spans="1:3" x14ac:dyDescent="0.3">
      <c r="A13" s="486" t="s">
        <v>12</v>
      </c>
      <c r="B13" s="494">
        <v>692.75</v>
      </c>
      <c r="C13" s="2"/>
    </row>
    <row r="14" spans="1:3" x14ac:dyDescent="0.3">
      <c r="A14" s="486" t="s">
        <v>11</v>
      </c>
      <c r="B14" s="494">
        <v>691.26</v>
      </c>
      <c r="C14" s="2"/>
    </row>
    <row r="15" spans="1:3" ht="15" thickBot="1" x14ac:dyDescent="0.35">
      <c r="A15" s="491" t="s">
        <v>10</v>
      </c>
      <c r="B15" s="495">
        <v>934.43</v>
      </c>
      <c r="C15" s="2"/>
    </row>
    <row r="16" spans="1:3" ht="8.1" customHeight="1" thickBot="1" x14ac:dyDescent="0.35">
      <c r="A16" s="1222"/>
      <c r="B16" s="1223"/>
      <c r="C16" s="2"/>
    </row>
    <row r="17" spans="1:6" x14ac:dyDescent="0.3">
      <c r="A17" s="496" t="s">
        <v>340</v>
      </c>
      <c r="B17" s="497">
        <f>SUM(B18:B19)</f>
        <v>6386.33</v>
      </c>
      <c r="C17" s="92"/>
      <c r="E17">
        <v>6793.93</v>
      </c>
      <c r="F17" s="21">
        <f>+B17-E17</f>
        <v>-407.60000000000036</v>
      </c>
    </row>
    <row r="18" spans="1:6" x14ac:dyDescent="0.3">
      <c r="A18" s="486" t="s">
        <v>399</v>
      </c>
      <c r="B18" s="494">
        <v>3968.9</v>
      </c>
      <c r="C18" s="92"/>
    </row>
    <row r="19" spans="1:6" ht="15" thickBot="1" x14ac:dyDescent="0.35">
      <c r="A19" s="491" t="s">
        <v>400</v>
      </c>
      <c r="B19" s="495">
        <v>2417.4299999999998</v>
      </c>
      <c r="C19" s="3"/>
    </row>
    <row r="20" spans="1:6" x14ac:dyDescent="0.3">
      <c r="C20" s="1"/>
      <c r="D20" s="1"/>
    </row>
    <row r="21" spans="1:6" x14ac:dyDescent="0.3">
      <c r="D21" s="1"/>
    </row>
    <row r="22" spans="1:6" x14ac:dyDescent="0.3">
      <c r="D22" s="1"/>
    </row>
    <row r="23" spans="1:6" x14ac:dyDescent="0.3">
      <c r="D23" s="1"/>
    </row>
    <row r="24" spans="1:6" x14ac:dyDescent="0.3">
      <c r="D24" s="1"/>
    </row>
  </sheetData>
  <sheetProtection algorithmName="SHA-512" hashValue="/sXdhf8+HtxwLxZXNMs2Lbz7UvYBmrsZGjfl/hxb7rCdCnNuDhzRv5e+c1qo2aE7Gc0ziXrEFwFeIRh6JF/QCQ==" saltValue="rZ8Ry97R572Cu193Sk3Sxw==" spinCount="100000" sheet="1" objects="1" scenarios="1" selectLockedCells="1" selectUnlockedCells="1"/>
  <mergeCells count="3">
    <mergeCell ref="A1:B1"/>
    <mergeCell ref="A16:B16"/>
    <mergeCell ref="A3:B3"/>
  </mergeCells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L35"/>
  <sheetViews>
    <sheetView zoomScaleNormal="100" workbookViewId="0">
      <selection activeCell="H15" sqref="H15"/>
    </sheetView>
  </sheetViews>
  <sheetFormatPr baseColWidth="10" defaultColWidth="12.33203125" defaultRowHeight="13.8" x14ac:dyDescent="0.3"/>
  <cols>
    <col min="1" max="1" width="11.109375" style="4" bestFit="1" customWidth="1"/>
    <col min="2" max="2" width="14.109375" style="4" bestFit="1" customWidth="1"/>
    <col min="3" max="3" width="11.44140625" style="4" bestFit="1" customWidth="1"/>
    <col min="4" max="4" width="16.109375" style="4" bestFit="1" customWidth="1"/>
    <col min="5" max="5" width="15" style="4" bestFit="1" customWidth="1"/>
    <col min="6" max="6" width="18.5546875" style="4" bestFit="1" customWidth="1"/>
    <col min="7" max="7" width="16.109375" style="26" bestFit="1" customWidth="1"/>
    <col min="8" max="9" width="17" style="4" bestFit="1" customWidth="1"/>
    <col min="10" max="10" width="18.6640625" style="4" bestFit="1" customWidth="1"/>
    <col min="11" max="11" width="23.109375" style="4" bestFit="1" customWidth="1"/>
    <col min="12" max="12" width="19.6640625" style="4" bestFit="1" customWidth="1"/>
    <col min="13" max="16384" width="12.33203125" style="4"/>
  </cols>
  <sheetData>
    <row r="1" spans="1:12" ht="18.600000000000001" thickTop="1" thickBot="1" x14ac:dyDescent="0.35">
      <c r="A1" s="1224" t="s">
        <v>288</v>
      </c>
      <c r="B1" s="1225"/>
      <c r="C1" s="1225"/>
      <c r="D1" s="1225"/>
      <c r="E1" s="1225"/>
      <c r="F1" s="1226"/>
      <c r="G1" s="1104"/>
      <c r="H1" s="1102"/>
      <c r="I1" s="1103"/>
    </row>
    <row r="2" spans="1:12" ht="42" thickBot="1" x14ac:dyDescent="0.35">
      <c r="A2" s="1111" t="s">
        <v>289</v>
      </c>
      <c r="B2" s="705" t="s">
        <v>290</v>
      </c>
      <c r="C2" s="705" t="s">
        <v>291</v>
      </c>
      <c r="D2" s="705" t="s">
        <v>292</v>
      </c>
      <c r="E2" s="705" t="s">
        <v>293</v>
      </c>
      <c r="F2" s="1112" t="s">
        <v>294</v>
      </c>
      <c r="G2" s="1105" t="s">
        <v>295</v>
      </c>
      <c r="H2" s="705" t="s">
        <v>296</v>
      </c>
      <c r="I2" s="706" t="s">
        <v>297</v>
      </c>
    </row>
    <row r="3" spans="1:12" x14ac:dyDescent="0.3">
      <c r="A3" s="1113">
        <v>9206015</v>
      </c>
      <c r="B3" s="280">
        <f>+'[1]MANZANA 9206015'!$B$41</f>
        <v>36</v>
      </c>
      <c r="C3" s="280">
        <v>2569.3000000000002</v>
      </c>
      <c r="D3" s="280">
        <v>7263.2499999999982</v>
      </c>
      <c r="E3" s="281">
        <v>2153976</v>
      </c>
      <c r="F3" s="1114">
        <f t="shared" ref="F3:F11" si="0">+E3*C3</f>
        <v>5534210536.8000002</v>
      </c>
      <c r="G3" s="1106">
        <v>600000</v>
      </c>
      <c r="H3" s="281">
        <f t="shared" ref="H3:H11" si="1">+G3*C3</f>
        <v>1541580000</v>
      </c>
      <c r="I3" s="282">
        <f t="shared" ref="I3:I11" si="2">+F3-H3</f>
        <v>3992630536.8000002</v>
      </c>
    </row>
    <row r="4" spans="1:12" x14ac:dyDescent="0.3">
      <c r="A4" s="1115">
        <v>9206016</v>
      </c>
      <c r="B4" s="274">
        <f>+'[1]MANZANA 9206016'!$B$45</f>
        <v>40</v>
      </c>
      <c r="C4" s="274">
        <v>2755.67</v>
      </c>
      <c r="D4" s="274">
        <v>7040.7600000000011</v>
      </c>
      <c r="E4" s="275">
        <v>2121257</v>
      </c>
      <c r="F4" s="1116">
        <f t="shared" si="0"/>
        <v>5845484277.1900005</v>
      </c>
      <c r="G4" s="1107">
        <v>600000</v>
      </c>
      <c r="H4" s="275">
        <f t="shared" si="1"/>
        <v>1653402000</v>
      </c>
      <c r="I4" s="276">
        <f t="shared" si="2"/>
        <v>4192082277.1900005</v>
      </c>
    </row>
    <row r="5" spans="1:12" x14ac:dyDescent="0.3">
      <c r="A5" s="1117">
        <v>9206017</v>
      </c>
      <c r="B5" s="271">
        <f>+'[1]MANZANA 9206017'!$B$51</f>
        <v>46</v>
      </c>
      <c r="C5" s="271">
        <v>2721.69</v>
      </c>
      <c r="D5" s="271">
        <v>7184.0099999999984</v>
      </c>
      <c r="E5" s="272">
        <v>2160423</v>
      </c>
      <c r="F5" s="1118">
        <f t="shared" si="0"/>
        <v>5880001674.8699999</v>
      </c>
      <c r="G5" s="1108">
        <v>700000</v>
      </c>
      <c r="H5" s="272">
        <f t="shared" si="1"/>
        <v>1905183000</v>
      </c>
      <c r="I5" s="273">
        <f t="shared" si="2"/>
        <v>3974818674.8699999</v>
      </c>
    </row>
    <row r="6" spans="1:12" x14ac:dyDescent="0.3">
      <c r="A6" s="1115">
        <v>9206022</v>
      </c>
      <c r="B6" s="274">
        <f>+'[1]MANZANA 9206022'!$B$30</f>
        <v>25</v>
      </c>
      <c r="C6" s="274">
        <v>1701</v>
      </c>
      <c r="D6" s="274">
        <v>3999.3399999999988</v>
      </c>
      <c r="E6" s="275">
        <v>2111121</v>
      </c>
      <c r="F6" s="1116">
        <f t="shared" si="0"/>
        <v>3591016821</v>
      </c>
      <c r="G6" s="1107">
        <v>850000</v>
      </c>
      <c r="H6" s="275">
        <f t="shared" si="1"/>
        <v>1445850000</v>
      </c>
      <c r="I6" s="276">
        <f t="shared" si="2"/>
        <v>2145166821</v>
      </c>
      <c r="K6" s="74"/>
      <c r="L6" s="73">
        <f>+K6-K13</f>
        <v>0</v>
      </c>
    </row>
    <row r="7" spans="1:12" x14ac:dyDescent="0.3">
      <c r="A7" s="1117">
        <v>9206023</v>
      </c>
      <c r="B7" s="271">
        <f>+'[1]MANZANA 9206023'!$B$38</f>
        <v>33</v>
      </c>
      <c r="C7" s="271">
        <f>2165.07+2.36</f>
        <v>2167.4300000000003</v>
      </c>
      <c r="D7" s="271">
        <v>5039.9599999999991</v>
      </c>
      <c r="E7" s="272">
        <v>2114014</v>
      </c>
      <c r="F7" s="1118">
        <f t="shared" si="0"/>
        <v>4581977364.0200005</v>
      </c>
      <c r="G7" s="1108">
        <v>630000</v>
      </c>
      <c r="H7" s="272">
        <f t="shared" si="1"/>
        <v>1365480900.0000002</v>
      </c>
      <c r="I7" s="273">
        <f t="shared" si="2"/>
        <v>3216496464.0200005</v>
      </c>
    </row>
    <row r="8" spans="1:12" x14ac:dyDescent="0.3">
      <c r="A8" s="1115">
        <v>9206025</v>
      </c>
      <c r="B8" s="274">
        <f>+'[1]MANZANA 9206025'!$B$24</f>
        <v>19</v>
      </c>
      <c r="C8" s="274">
        <v>1276.04</v>
      </c>
      <c r="D8" s="274">
        <v>3621.0199999999995</v>
      </c>
      <c r="E8" s="275">
        <v>2122222</v>
      </c>
      <c r="F8" s="1116">
        <f t="shared" si="0"/>
        <v>2708040160.8800001</v>
      </c>
      <c r="G8" s="1107">
        <v>600000</v>
      </c>
      <c r="H8" s="275">
        <f t="shared" si="1"/>
        <v>765624000</v>
      </c>
      <c r="I8" s="276">
        <f t="shared" si="2"/>
        <v>1942416160.8800001</v>
      </c>
    </row>
    <row r="9" spans="1:12" x14ac:dyDescent="0.3">
      <c r="A9" s="1117">
        <v>9206026</v>
      </c>
      <c r="B9" s="271">
        <f>+'[1]MANZANA 9206026'!$B$24</f>
        <v>19</v>
      </c>
      <c r="C9" s="271">
        <v>1297.48</v>
      </c>
      <c r="D9" s="271">
        <v>4528.3100000000004</v>
      </c>
      <c r="E9" s="272">
        <v>2122222</v>
      </c>
      <c r="F9" s="1118">
        <f t="shared" si="0"/>
        <v>2753540600.5599999</v>
      </c>
      <c r="G9" s="1108">
        <v>600000</v>
      </c>
      <c r="H9" s="272">
        <f t="shared" si="1"/>
        <v>778488000</v>
      </c>
      <c r="I9" s="273">
        <f t="shared" si="2"/>
        <v>1975052600.5599999</v>
      </c>
    </row>
    <row r="10" spans="1:12" x14ac:dyDescent="0.3">
      <c r="A10" s="1115">
        <v>9206027</v>
      </c>
      <c r="B10" s="274">
        <f>+'[1]MANZANA 9206027'!$B$34</f>
        <v>29</v>
      </c>
      <c r="C10" s="274">
        <v>2215.1799999999998</v>
      </c>
      <c r="D10" s="274">
        <v>5844.15</v>
      </c>
      <c r="E10" s="275">
        <v>2114354</v>
      </c>
      <c r="F10" s="1116">
        <f t="shared" si="0"/>
        <v>4683674693.7199993</v>
      </c>
      <c r="G10" s="1107">
        <v>750000</v>
      </c>
      <c r="H10" s="275">
        <f t="shared" si="1"/>
        <v>1661384999.9999998</v>
      </c>
      <c r="I10" s="276">
        <f t="shared" si="2"/>
        <v>3022289693.7199993</v>
      </c>
    </row>
    <row r="11" spans="1:12" ht="14.4" thickBot="1" x14ac:dyDescent="0.35">
      <c r="A11" s="1119">
        <v>9206028</v>
      </c>
      <c r="B11" s="277">
        <f>+'[1]MANZANA 9206028'!$B$47</f>
        <v>42</v>
      </c>
      <c r="C11" s="277">
        <v>2670.26</v>
      </c>
      <c r="D11" s="277">
        <v>7510.25</v>
      </c>
      <c r="E11" s="278">
        <v>2157371</v>
      </c>
      <c r="F11" s="1120">
        <f t="shared" si="0"/>
        <v>5760741486.46</v>
      </c>
      <c r="G11" s="1109">
        <v>800000</v>
      </c>
      <c r="H11" s="278">
        <f t="shared" si="1"/>
        <v>2136208000.0000002</v>
      </c>
      <c r="I11" s="279">
        <f t="shared" si="2"/>
        <v>3624533486.46</v>
      </c>
    </row>
    <row r="12" spans="1:12" ht="14.4" thickBot="1" x14ac:dyDescent="0.35">
      <c r="A12" s="1121" t="s">
        <v>2</v>
      </c>
      <c r="B12" s="1122">
        <f>SUM(B3:B11)</f>
        <v>289</v>
      </c>
      <c r="C12" s="1122">
        <f t="shared" ref="C12" si="3">SUM(C3:C11)</f>
        <v>19374.050000000003</v>
      </c>
      <c r="D12" s="1122">
        <f>SUM(D3:D11)</f>
        <v>52031.049999999996</v>
      </c>
      <c r="E12" s="1123">
        <f>+F12/C12</f>
        <v>2133714.3042110447</v>
      </c>
      <c r="F12" s="1124">
        <f>SUM(F3:F11)</f>
        <v>41338687615.5</v>
      </c>
      <c r="G12" s="1110">
        <f>SUM(G3:G11)/9</f>
        <v>681111.11111111112</v>
      </c>
      <c r="H12" s="283">
        <f>SUM(H3:H11)</f>
        <v>13253200900</v>
      </c>
      <c r="I12" s="284">
        <f>SUM(I3:I11)</f>
        <v>28085486715.5</v>
      </c>
      <c r="K12" s="73"/>
    </row>
    <row r="13" spans="1:12" ht="15" thickTop="1" thickBot="1" x14ac:dyDescent="0.35">
      <c r="K13" s="73"/>
    </row>
    <row r="14" spans="1:12" ht="17.399999999999999" x14ac:dyDescent="0.3">
      <c r="A14" s="1227" t="s">
        <v>34</v>
      </c>
      <c r="B14" s="1228"/>
      <c r="C14" s="1228"/>
      <c r="D14" s="1228"/>
      <c r="E14" s="1228"/>
      <c r="F14" s="1228"/>
      <c r="G14" s="1229"/>
      <c r="K14" s="73"/>
    </row>
    <row r="15" spans="1:12" ht="15.6" x14ac:dyDescent="0.3">
      <c r="A15" s="1230" t="s">
        <v>87</v>
      </c>
      <c r="B15" s="1231"/>
      <c r="C15" s="1231"/>
      <c r="D15" s="1231"/>
      <c r="E15" s="1231"/>
      <c r="F15" s="1231"/>
      <c r="G15" s="1232"/>
      <c r="K15" s="73"/>
    </row>
    <row r="16" spans="1:12" ht="8.1" customHeight="1" thickBot="1" x14ac:dyDescent="0.35">
      <c r="A16" s="1239"/>
      <c r="B16" s="1240"/>
      <c r="C16" s="1240"/>
      <c r="D16" s="1240"/>
      <c r="E16" s="1240"/>
      <c r="F16" s="1240"/>
      <c r="G16" s="1241"/>
      <c r="K16" s="73"/>
    </row>
    <row r="17" spans="1:11" ht="53.4" thickBot="1" x14ac:dyDescent="0.35">
      <c r="A17" s="324" t="s">
        <v>342</v>
      </c>
      <c r="B17" s="302" t="s">
        <v>0</v>
      </c>
      <c r="C17" s="303" t="s">
        <v>35</v>
      </c>
      <c r="D17" s="303" t="s">
        <v>89</v>
      </c>
      <c r="E17" s="303" t="s">
        <v>90</v>
      </c>
      <c r="F17" s="303" t="s">
        <v>91</v>
      </c>
      <c r="G17" s="304" t="s">
        <v>92</v>
      </c>
    </row>
    <row r="18" spans="1:11" x14ac:dyDescent="0.3">
      <c r="A18" s="1233" t="s">
        <v>337</v>
      </c>
      <c r="B18" s="296">
        <f>+SloPri!A4</f>
        <v>9206015</v>
      </c>
      <c r="C18" s="297">
        <f>+SloPri!H4</f>
        <v>1597.65</v>
      </c>
      <c r="D18" s="298">
        <f t="shared" ref="D18:D24" si="4">+C18/C$35</f>
        <v>8.2463398205331356E-2</v>
      </c>
      <c r="E18" s="299">
        <v>2153976</v>
      </c>
      <c r="F18" s="300">
        <f>+E18*C18</f>
        <v>3441299756.4000001</v>
      </c>
      <c r="G18" s="301">
        <f t="shared" ref="G18:G24" si="5">+F18/$F$35</f>
        <v>8.3246468048129046E-2</v>
      </c>
      <c r="K18" s="73"/>
    </row>
    <row r="19" spans="1:11" x14ac:dyDescent="0.3">
      <c r="A19" s="1236"/>
      <c r="B19" s="285">
        <f>+SloPri!A5</f>
        <v>9206016</v>
      </c>
      <c r="C19" s="286">
        <f>+SloPri!H5</f>
        <v>1585.29</v>
      </c>
      <c r="D19" s="287">
        <f t="shared" si="4"/>
        <v>8.1825431440509327E-2</v>
      </c>
      <c r="E19" s="288">
        <v>2121257</v>
      </c>
      <c r="F19" s="289">
        <f t="shared" ref="F19:F24" si="6">+E19*C19</f>
        <v>3362807509.5299997</v>
      </c>
      <c r="G19" s="290">
        <f t="shared" si="5"/>
        <v>8.1347708049399711E-2</v>
      </c>
    </row>
    <row r="20" spans="1:11" x14ac:dyDescent="0.3">
      <c r="A20" s="1236"/>
      <c r="B20" s="285">
        <f>+SloPri!A6</f>
        <v>9206017</v>
      </c>
      <c r="C20" s="286">
        <f>+SloPri!H6</f>
        <v>1458.39</v>
      </c>
      <c r="D20" s="287">
        <f t="shared" si="4"/>
        <v>7.5275432859933766E-2</v>
      </c>
      <c r="E20" s="288">
        <v>2160423</v>
      </c>
      <c r="F20" s="289">
        <f t="shared" si="6"/>
        <v>3150739298.9700003</v>
      </c>
      <c r="G20" s="290">
        <f t="shared" si="5"/>
        <v>7.621769010150814E-2</v>
      </c>
    </row>
    <row r="21" spans="1:11" x14ac:dyDescent="0.3">
      <c r="A21" s="1236"/>
      <c r="B21" s="285">
        <f>+SloPri!A9</f>
        <v>9206025</v>
      </c>
      <c r="C21" s="286">
        <f>+SloPri!H9</f>
        <v>1276.04</v>
      </c>
      <c r="D21" s="287">
        <f t="shared" si="4"/>
        <v>6.5863358461447127E-2</v>
      </c>
      <c r="E21" s="288">
        <v>2122222</v>
      </c>
      <c r="F21" s="289">
        <f t="shared" si="6"/>
        <v>2708040160.8800001</v>
      </c>
      <c r="G21" s="290">
        <f t="shared" si="5"/>
        <v>6.5508614385158412E-2</v>
      </c>
    </row>
    <row r="22" spans="1:11" x14ac:dyDescent="0.3">
      <c r="A22" s="1236"/>
      <c r="B22" s="285">
        <f>+SloPri!A10</f>
        <v>9206026</v>
      </c>
      <c r="C22" s="286">
        <f>+SloPri!C10</f>
        <v>1297.48</v>
      </c>
      <c r="D22" s="287">
        <f t="shared" si="4"/>
        <v>6.6969993367416714E-2</v>
      </c>
      <c r="E22" s="288">
        <v>2122222</v>
      </c>
      <c r="F22" s="289">
        <f t="shared" si="6"/>
        <v>2753540600.5599999</v>
      </c>
      <c r="G22" s="290">
        <f t="shared" si="5"/>
        <v>6.6609288887852516E-2</v>
      </c>
    </row>
    <row r="23" spans="1:11" x14ac:dyDescent="0.3">
      <c r="A23" s="1236"/>
      <c r="B23" s="285">
        <f>+SloPri!A11</f>
        <v>9206027</v>
      </c>
      <c r="C23" s="286">
        <f>+SloPri!H11</f>
        <v>721.77</v>
      </c>
      <c r="D23" s="287">
        <f t="shared" si="4"/>
        <v>3.7254471832167249E-2</v>
      </c>
      <c r="E23" s="288">
        <v>2114354</v>
      </c>
      <c r="F23" s="289">
        <f t="shared" si="6"/>
        <v>1526077286.5799999</v>
      </c>
      <c r="G23" s="290">
        <f t="shared" si="5"/>
        <v>3.691644235291977E-2</v>
      </c>
    </row>
    <row r="24" spans="1:11" x14ac:dyDescent="0.3">
      <c r="A24" s="1236"/>
      <c r="B24" s="285">
        <f>+SloPri!A12</f>
        <v>9206028</v>
      </c>
      <c r="C24" s="286">
        <f>+SloPri!H12</f>
        <v>718.82</v>
      </c>
      <c r="D24" s="287">
        <f t="shared" si="4"/>
        <v>3.7102206301728342E-2</v>
      </c>
      <c r="E24" s="288">
        <v>2157371</v>
      </c>
      <c r="F24" s="289">
        <f t="shared" si="6"/>
        <v>1550761422.22</v>
      </c>
      <c r="G24" s="290">
        <f t="shared" si="5"/>
        <v>3.7513561829370316E-2</v>
      </c>
    </row>
    <row r="25" spans="1:11" ht="27" thickBot="1" x14ac:dyDescent="0.35">
      <c r="A25" s="1237"/>
      <c r="B25" s="201" t="s">
        <v>365</v>
      </c>
      <c r="C25" s="291">
        <f>SUM(C18:C24)</f>
        <v>8655.44</v>
      </c>
      <c r="D25" s="292">
        <f>SUM(D18:D24)</f>
        <v>0.44675429246853388</v>
      </c>
      <c r="E25" s="293">
        <f>+F25/C25</f>
        <v>2136606.1153609757</v>
      </c>
      <c r="F25" s="294">
        <f>SUM(F18:F24)</f>
        <v>18493266035.140003</v>
      </c>
      <c r="G25" s="295">
        <f>SUM(G18:G24)</f>
        <v>0.44735977365433793</v>
      </c>
    </row>
    <row r="26" spans="1:11" ht="16.5" customHeight="1" thickBot="1" x14ac:dyDescent="0.35">
      <c r="A26" s="1238" t="s">
        <v>338</v>
      </c>
      <c r="B26" s="311">
        <f>+SloPri!A4</f>
        <v>9206015</v>
      </c>
      <c r="C26" s="312">
        <f>+SloPri!K4</f>
        <v>971.67</v>
      </c>
      <c r="D26" s="313">
        <f t="shared" ref="D26:D33" si="7">+C26/C$35</f>
        <v>5.0153168800534727E-2</v>
      </c>
      <c r="E26" s="314">
        <f>+E18</f>
        <v>2153976</v>
      </c>
      <c r="F26" s="315">
        <f t="shared" ref="F26:F32" si="8">+E26*C26</f>
        <v>2092953859.9199998</v>
      </c>
      <c r="G26" s="316">
        <f t="shared" ref="G26:G32" si="9">+F26/$F$35</f>
        <v>5.0629421718352295E-2</v>
      </c>
    </row>
    <row r="27" spans="1:11" ht="16.5" customHeight="1" thickBot="1" x14ac:dyDescent="0.35">
      <c r="A27" s="1238"/>
      <c r="B27" s="285">
        <f>+SloPri!A5</f>
        <v>9206016</v>
      </c>
      <c r="C27" s="286">
        <f>+SloPri!K5</f>
        <v>1170.3599999999999</v>
      </c>
      <c r="D27" s="287">
        <f t="shared" si="7"/>
        <v>6.0408639391350785E-2</v>
      </c>
      <c r="E27" s="288">
        <f>+E19</f>
        <v>2121257</v>
      </c>
      <c r="F27" s="289">
        <f t="shared" si="8"/>
        <v>2482634342.52</v>
      </c>
      <c r="G27" s="290">
        <f t="shared" si="9"/>
        <v>6.0055954174123002E-2</v>
      </c>
    </row>
    <row r="28" spans="1:11" ht="16.5" customHeight="1" thickBot="1" x14ac:dyDescent="0.35">
      <c r="A28" s="1238"/>
      <c r="B28" s="285">
        <f>+SloPri!A6</f>
        <v>9206017</v>
      </c>
      <c r="C28" s="286">
        <f>+SloPri!K6</f>
        <v>1263.3</v>
      </c>
      <c r="D28" s="287">
        <f t="shared" si="7"/>
        <v>6.5205777831687226E-2</v>
      </c>
      <c r="E28" s="288">
        <f>+E20</f>
        <v>2160423</v>
      </c>
      <c r="F28" s="289">
        <f t="shared" si="8"/>
        <v>2729262375.9000001</v>
      </c>
      <c r="G28" s="290">
        <f t="shared" si="9"/>
        <v>6.602198856631987E-2</v>
      </c>
    </row>
    <row r="29" spans="1:11" ht="16.5" customHeight="1" thickBot="1" x14ac:dyDescent="0.35">
      <c r="A29" s="1238"/>
      <c r="B29" s="285">
        <f>+SloPri!A7</f>
        <v>9206022</v>
      </c>
      <c r="C29" s="286">
        <f>+SloPri!K7</f>
        <v>1701</v>
      </c>
      <c r="D29" s="287">
        <f t="shared" si="7"/>
        <v>8.7797853314097965E-2</v>
      </c>
      <c r="E29" s="288">
        <v>2111121</v>
      </c>
      <c r="F29" s="289">
        <f t="shared" si="8"/>
        <v>3591016821</v>
      </c>
      <c r="G29" s="290">
        <f t="shared" si="9"/>
        <v>8.6868185921239224E-2</v>
      </c>
    </row>
    <row r="30" spans="1:11" ht="16.5" customHeight="1" thickBot="1" x14ac:dyDescent="0.35">
      <c r="A30" s="1238"/>
      <c r="B30" s="285">
        <f>+SloPri!A8</f>
        <v>9206023</v>
      </c>
      <c r="C30" s="286">
        <f>+SloPri!K8</f>
        <v>2167.4300000000003</v>
      </c>
      <c r="D30" s="287">
        <f t="shared" si="7"/>
        <v>0.11187284021668159</v>
      </c>
      <c r="E30" s="288">
        <v>2114014</v>
      </c>
      <c r="F30" s="289">
        <f t="shared" si="8"/>
        <v>4581977364.0200005</v>
      </c>
      <c r="G30" s="290">
        <f t="shared" si="9"/>
        <v>0.11083993236037226</v>
      </c>
    </row>
    <row r="31" spans="1:11" ht="16.5" customHeight="1" thickBot="1" x14ac:dyDescent="0.35">
      <c r="A31" s="1238"/>
      <c r="B31" s="285">
        <f>+SloPri!A11</f>
        <v>9206027</v>
      </c>
      <c r="C31" s="286">
        <f>+SloPri!K11</f>
        <v>1493.42</v>
      </c>
      <c r="D31" s="287">
        <f t="shared" ref="D31" si="10">+C31/C$35</f>
        <v>7.7083521514603293E-2</v>
      </c>
      <c r="E31" s="288">
        <v>2114354</v>
      </c>
      <c r="F31" s="289">
        <f t="shared" si="8"/>
        <v>3157618550.6800003</v>
      </c>
      <c r="G31" s="290">
        <f t="shared" si="9"/>
        <v>7.6384102052866498E-2</v>
      </c>
    </row>
    <row r="32" spans="1:11" ht="16.5" customHeight="1" thickBot="1" x14ac:dyDescent="0.35">
      <c r="A32" s="1238"/>
      <c r="B32" s="317">
        <f>+SloPri!A12</f>
        <v>9206028</v>
      </c>
      <c r="C32" s="318">
        <f>+SloPri!K12</f>
        <v>1951.43</v>
      </c>
      <c r="D32" s="319">
        <f t="shared" ref="D32" si="11">+C32/C$35</f>
        <v>0.10072390646251041</v>
      </c>
      <c r="E32" s="320">
        <v>2157371</v>
      </c>
      <c r="F32" s="321">
        <f t="shared" si="8"/>
        <v>4209958490.5300002</v>
      </c>
      <c r="G32" s="322">
        <f t="shared" si="9"/>
        <v>0.1018406415523888</v>
      </c>
    </row>
    <row r="33" spans="1:7" ht="27" thickBot="1" x14ac:dyDescent="0.35">
      <c r="A33" s="1238"/>
      <c r="B33" s="303" t="s">
        <v>366</v>
      </c>
      <c r="C33" s="306">
        <f>SUM(C26:C32)</f>
        <v>10718.61</v>
      </c>
      <c r="D33" s="307">
        <f t="shared" si="7"/>
        <v>0.55324570753146596</v>
      </c>
      <c r="E33" s="308">
        <f>+F33/C33</f>
        <v>2131379.1438040938</v>
      </c>
      <c r="F33" s="309">
        <f>SUM(F26:F32)</f>
        <v>22845421804.57</v>
      </c>
      <c r="G33" s="310">
        <f>SUM(G26:G32)</f>
        <v>0.5526402263456619</v>
      </c>
    </row>
    <row r="34" spans="1:7" ht="8.1" customHeight="1" x14ac:dyDescent="0.3">
      <c r="A34" s="1233"/>
      <c r="B34" s="1234"/>
      <c r="C34" s="1234"/>
      <c r="D34" s="1234"/>
      <c r="E34" s="1234"/>
      <c r="F34" s="1234"/>
      <c r="G34" s="1235"/>
    </row>
    <row r="35" spans="1:7" ht="18" thickBot="1" x14ac:dyDescent="0.35">
      <c r="A35" s="323" t="s">
        <v>352</v>
      </c>
      <c r="B35" s="330" t="s">
        <v>2</v>
      </c>
      <c r="C35" s="325">
        <f>+C25+C33</f>
        <v>19374.050000000003</v>
      </c>
      <c r="D35" s="326">
        <f>+D25+D33</f>
        <v>0.99999999999999978</v>
      </c>
      <c r="E35" s="327">
        <f>+F35/C35</f>
        <v>2133714.3157837419</v>
      </c>
      <c r="F35" s="328">
        <f>+F25+F33</f>
        <v>41338687839.710007</v>
      </c>
      <c r="G35" s="329">
        <f>+G25+G33</f>
        <v>0.99999999999999978</v>
      </c>
    </row>
  </sheetData>
  <sheetProtection algorithmName="SHA-512" hashValue="blzdIqPcIqppwTYLuu6QApKmVHpc1pK7JbEhOr48QCvBbu70NE1lMNmXaWE3psB21tUdlzRWEn4VV6aY1lmtGA==" saltValue="bQ2Ia0SGmU3Oh2OWAMM1bw==" spinCount="100000" sheet="1" objects="1" scenarios="1" selectLockedCells="1" selectUnlockedCells="1"/>
  <mergeCells count="7">
    <mergeCell ref="A1:F1"/>
    <mergeCell ref="A14:G14"/>
    <mergeCell ref="A15:G15"/>
    <mergeCell ref="A34:G34"/>
    <mergeCell ref="A18:A25"/>
    <mergeCell ref="A26:A33"/>
    <mergeCell ref="A16:G1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34"/>
  <sheetViews>
    <sheetView zoomScaleNormal="100" workbookViewId="0">
      <selection activeCell="B30" sqref="B30:C30"/>
    </sheetView>
  </sheetViews>
  <sheetFormatPr baseColWidth="10" defaultColWidth="11.44140625" defaultRowHeight="14.4" x14ac:dyDescent="0.3"/>
  <cols>
    <col min="1" max="1" width="3.5546875" style="47" bestFit="1" customWidth="1"/>
    <col min="2" max="2" width="25.5546875" style="47" customWidth="1"/>
    <col min="3" max="3" width="7.6640625" style="47" customWidth="1"/>
    <col min="4" max="4" width="14.5546875" style="47" bestFit="1" customWidth="1"/>
    <col min="5" max="5" width="1.88671875" style="47" customWidth="1"/>
    <col min="6" max="6" width="3.5546875" style="47" bestFit="1" customWidth="1"/>
    <col min="7" max="7" width="22.44140625" style="47" bestFit="1" customWidth="1"/>
    <col min="8" max="8" width="7.6640625" style="47" customWidth="1"/>
    <col min="9" max="9" width="16.109375" style="47" bestFit="1" customWidth="1"/>
    <col min="10" max="16384" width="11.44140625" style="47"/>
  </cols>
  <sheetData>
    <row r="1" spans="1:9" ht="17.399999999999999" x14ac:dyDescent="0.3">
      <c r="A1" s="331" t="s">
        <v>135</v>
      </c>
      <c r="B1" s="1258" t="s">
        <v>126</v>
      </c>
      <c r="C1" s="1258"/>
      <c r="D1" s="1258"/>
      <c r="E1" s="1258"/>
      <c r="F1" s="1258"/>
      <c r="G1" s="1258"/>
      <c r="H1" s="1258"/>
      <c r="I1" s="332">
        <f>+D3+I3</f>
        <v>33214.659999999996</v>
      </c>
    </row>
    <row r="2" spans="1:9" ht="8.1" customHeight="1" thickBot="1" x14ac:dyDescent="0.35">
      <c r="A2" s="1259"/>
      <c r="B2" s="1260"/>
      <c r="C2" s="1260"/>
      <c r="D2" s="1260"/>
      <c r="E2" s="1260"/>
      <c r="F2" s="1260"/>
      <c r="G2" s="1260"/>
      <c r="H2" s="1260"/>
      <c r="I2" s="1261"/>
    </row>
    <row r="3" spans="1:9" ht="17.399999999999999" x14ac:dyDescent="0.3">
      <c r="A3" s="338" t="s">
        <v>136</v>
      </c>
      <c r="B3" s="1250" t="s">
        <v>117</v>
      </c>
      <c r="C3" s="1250"/>
      <c r="D3" s="332">
        <f>+D4+D7</f>
        <v>13040.62</v>
      </c>
      <c r="E3" s="1256"/>
      <c r="F3" s="338" t="s">
        <v>279</v>
      </c>
      <c r="G3" s="1250" t="s">
        <v>121</v>
      </c>
      <c r="H3" s="1250"/>
      <c r="I3" s="332">
        <f>+I4+I14</f>
        <v>20174.039999999997</v>
      </c>
    </row>
    <row r="4" spans="1:9" ht="22.5" customHeight="1" x14ac:dyDescent="0.3">
      <c r="A4" s="335" t="s">
        <v>123</v>
      </c>
      <c r="B4" s="1251" t="s">
        <v>118</v>
      </c>
      <c r="C4" s="1251"/>
      <c r="D4" s="336">
        <f>+D5+D6</f>
        <v>6386.33</v>
      </c>
      <c r="E4" s="1256"/>
      <c r="F4" s="335" t="s">
        <v>280</v>
      </c>
      <c r="G4" s="158" t="s">
        <v>122</v>
      </c>
      <c r="H4" s="158" t="s">
        <v>124</v>
      </c>
      <c r="I4" s="336">
        <f>SUM(I5:I13)</f>
        <v>19374.489999999998</v>
      </c>
    </row>
    <row r="5" spans="1:9" x14ac:dyDescent="0.3">
      <c r="A5" s="1252" t="s">
        <v>40</v>
      </c>
      <c r="B5" s="1253"/>
      <c r="C5" s="1253"/>
      <c r="D5" s="339">
        <v>3968.9</v>
      </c>
      <c r="E5" s="1256"/>
      <c r="F5" s="1254">
        <v>9206015</v>
      </c>
      <c r="G5" s="1255"/>
      <c r="H5" s="337">
        <v>36</v>
      </c>
      <c r="I5" s="196">
        <f>2569.3</f>
        <v>2569.3000000000002</v>
      </c>
    </row>
    <row r="6" spans="1:9" x14ac:dyDescent="0.3">
      <c r="A6" s="1252" t="s">
        <v>41</v>
      </c>
      <c r="B6" s="1253"/>
      <c r="C6" s="1253"/>
      <c r="D6" s="339">
        <v>2417.4299999999998</v>
      </c>
      <c r="E6" s="1256"/>
      <c r="F6" s="1254">
        <v>9206016</v>
      </c>
      <c r="G6" s="1255"/>
      <c r="H6" s="337">
        <v>40</v>
      </c>
      <c r="I6" s="196">
        <v>2755.66</v>
      </c>
    </row>
    <row r="7" spans="1:9" x14ac:dyDescent="0.3">
      <c r="A7" s="335" t="s">
        <v>125</v>
      </c>
      <c r="B7" s="1251" t="s">
        <v>116</v>
      </c>
      <c r="C7" s="1251"/>
      <c r="D7" s="336">
        <f>SUM(D8:D18)</f>
        <v>6654.2900000000009</v>
      </c>
      <c r="E7" s="1256"/>
      <c r="F7" s="1254">
        <v>9206017</v>
      </c>
      <c r="G7" s="1255"/>
      <c r="H7" s="337">
        <v>46</v>
      </c>
      <c r="I7" s="196">
        <v>2721.69</v>
      </c>
    </row>
    <row r="8" spans="1:9" ht="16.5" customHeight="1" x14ac:dyDescent="0.3">
      <c r="A8" s="1266" t="s">
        <v>98</v>
      </c>
      <c r="B8" s="1267"/>
      <c r="C8" s="1267"/>
      <c r="D8" s="340">
        <v>47.81</v>
      </c>
      <c r="E8" s="1256"/>
      <c r="F8" s="1254">
        <v>9206022</v>
      </c>
      <c r="G8" s="1255"/>
      <c r="H8" s="337">
        <v>25</v>
      </c>
      <c r="I8" s="196">
        <v>1700.8</v>
      </c>
    </row>
    <row r="9" spans="1:9" x14ac:dyDescent="0.3">
      <c r="A9" s="1248" t="s">
        <v>7</v>
      </c>
      <c r="B9" s="1249"/>
      <c r="C9" s="1249"/>
      <c r="D9" s="341">
        <v>513.20000000000005</v>
      </c>
      <c r="E9" s="1256"/>
      <c r="F9" s="1254">
        <v>9206023</v>
      </c>
      <c r="G9" s="1255"/>
      <c r="H9" s="337">
        <v>33</v>
      </c>
      <c r="I9" s="196">
        <v>2165.11</v>
      </c>
    </row>
    <row r="10" spans="1:9" x14ac:dyDescent="0.3">
      <c r="A10" s="1248" t="s">
        <v>8</v>
      </c>
      <c r="B10" s="1249"/>
      <c r="C10" s="1249"/>
      <c r="D10" s="341">
        <v>680.97</v>
      </c>
      <c r="E10" s="1256"/>
      <c r="F10" s="1254">
        <v>9206025</v>
      </c>
      <c r="G10" s="1255"/>
      <c r="H10" s="337">
        <v>19</v>
      </c>
      <c r="I10" s="196">
        <f>1276.04+0.44</f>
        <v>1276.48</v>
      </c>
    </row>
    <row r="11" spans="1:9" x14ac:dyDescent="0.3">
      <c r="A11" s="1248" t="s">
        <v>9</v>
      </c>
      <c r="B11" s="1249"/>
      <c r="C11" s="1249"/>
      <c r="D11" s="341">
        <v>617.94000000000005</v>
      </c>
      <c r="E11" s="1256"/>
      <c r="F11" s="1254">
        <v>9206026</v>
      </c>
      <c r="G11" s="1255"/>
      <c r="H11" s="337">
        <v>19</v>
      </c>
      <c r="I11" s="196">
        <v>1297.48</v>
      </c>
    </row>
    <row r="12" spans="1:9" x14ac:dyDescent="0.3">
      <c r="A12" s="1248" t="s">
        <v>15</v>
      </c>
      <c r="B12" s="1249"/>
      <c r="C12" s="1249"/>
      <c r="D12" s="341">
        <v>327.8</v>
      </c>
      <c r="E12" s="1256"/>
      <c r="F12" s="1254">
        <v>9206027</v>
      </c>
      <c r="G12" s="1255"/>
      <c r="H12" s="337">
        <v>29</v>
      </c>
      <c r="I12" s="196">
        <v>2215.1799999999998</v>
      </c>
    </row>
    <row r="13" spans="1:9" x14ac:dyDescent="0.3">
      <c r="A13" s="1248" t="s">
        <v>16</v>
      </c>
      <c r="B13" s="1249"/>
      <c r="C13" s="1249"/>
      <c r="D13" s="341">
        <v>71.02</v>
      </c>
      <c r="E13" s="1256"/>
      <c r="F13" s="1254">
        <v>9206028</v>
      </c>
      <c r="G13" s="1255"/>
      <c r="H13" s="337">
        <v>42</v>
      </c>
      <c r="I13" s="196">
        <v>2672.79</v>
      </c>
    </row>
    <row r="14" spans="1:9" ht="15" thickBot="1" x14ac:dyDescent="0.35">
      <c r="A14" s="1248" t="s">
        <v>14</v>
      </c>
      <c r="B14" s="1249"/>
      <c r="C14" s="1249"/>
      <c r="D14" s="341">
        <v>326.20999999999998</v>
      </c>
      <c r="E14" s="1256"/>
      <c r="F14" s="343" t="s">
        <v>281</v>
      </c>
      <c r="G14" s="344" t="s">
        <v>284</v>
      </c>
      <c r="H14" s="345">
        <v>1</v>
      </c>
      <c r="I14" s="346">
        <v>799.55</v>
      </c>
    </row>
    <row r="15" spans="1:9" x14ac:dyDescent="0.3">
      <c r="A15" s="1248" t="s">
        <v>13</v>
      </c>
      <c r="B15" s="1249"/>
      <c r="C15" s="1249"/>
      <c r="D15" s="341">
        <v>1750.9</v>
      </c>
      <c r="E15" s="1256"/>
      <c r="F15" s="1244">
        <v>4</v>
      </c>
      <c r="G15" s="1242" t="s">
        <v>260</v>
      </c>
      <c r="H15" s="1242"/>
      <c r="I15" s="1246">
        <f>+I17-I18</f>
        <v>32415.109999999997</v>
      </c>
    </row>
    <row r="16" spans="1:9" x14ac:dyDescent="0.3">
      <c r="A16" s="1248" t="s">
        <v>12</v>
      </c>
      <c r="B16" s="1249"/>
      <c r="C16" s="1249"/>
      <c r="D16" s="341">
        <v>692.75</v>
      </c>
      <c r="E16" s="1256"/>
      <c r="F16" s="1245"/>
      <c r="G16" s="1243"/>
      <c r="H16" s="1243"/>
      <c r="I16" s="1247"/>
    </row>
    <row r="17" spans="1:9" x14ac:dyDescent="0.3">
      <c r="A17" s="1248" t="s">
        <v>11</v>
      </c>
      <c r="B17" s="1249"/>
      <c r="C17" s="1249"/>
      <c r="D17" s="341">
        <v>691.26</v>
      </c>
      <c r="E17" s="1256"/>
      <c r="F17" s="347" t="s">
        <v>282</v>
      </c>
      <c r="G17" s="1270" t="s">
        <v>261</v>
      </c>
      <c r="H17" s="1270"/>
      <c r="I17" s="484">
        <f>+I1</f>
        <v>33214.659999999996</v>
      </c>
    </row>
    <row r="18" spans="1:9" ht="15" thickBot="1" x14ac:dyDescent="0.35">
      <c r="A18" s="1268" t="s">
        <v>10</v>
      </c>
      <c r="B18" s="1269"/>
      <c r="C18" s="1269"/>
      <c r="D18" s="342">
        <v>934.43</v>
      </c>
      <c r="E18" s="1257"/>
      <c r="F18" s="348" t="s">
        <v>283</v>
      </c>
      <c r="G18" s="1271" t="s">
        <v>470</v>
      </c>
      <c r="H18" s="1271"/>
      <c r="I18" s="333">
        <f>+I14</f>
        <v>799.55</v>
      </c>
    </row>
    <row r="19" spans="1:9" ht="15" thickBot="1" x14ac:dyDescent="0.35"/>
    <row r="20" spans="1:9" ht="18.600000000000001" thickTop="1" thickBot="1" x14ac:dyDescent="0.35">
      <c r="A20" s="105" t="s">
        <v>135</v>
      </c>
      <c r="B20" s="1272" t="s">
        <v>20</v>
      </c>
      <c r="C20" s="1272"/>
      <c r="D20" s="356">
        <f>+D21+D24</f>
        <v>33214.659999999996</v>
      </c>
      <c r="E20" s="93"/>
      <c r="F20" s="93"/>
      <c r="G20" s="93"/>
      <c r="H20" s="93"/>
      <c r="I20" s="94"/>
    </row>
    <row r="21" spans="1:9" ht="15.75" customHeight="1" x14ac:dyDescent="0.3">
      <c r="A21" s="108" t="s">
        <v>136</v>
      </c>
      <c r="B21" s="1263" t="s">
        <v>117</v>
      </c>
      <c r="C21" s="1263"/>
      <c r="D21" s="351">
        <f>+D22+D23</f>
        <v>13040.62</v>
      </c>
      <c r="E21" s="96"/>
      <c r="F21" s="97"/>
      <c r="G21" s="1264"/>
      <c r="H21" s="1264"/>
      <c r="I21" s="94"/>
    </row>
    <row r="22" spans="1:9" ht="15.75" customHeight="1" x14ac:dyDescent="0.3">
      <c r="A22" s="103" t="s">
        <v>123</v>
      </c>
      <c r="B22" s="1265" t="s">
        <v>459</v>
      </c>
      <c r="C22" s="1265"/>
      <c r="D22" s="352">
        <f>+D4</f>
        <v>6386.33</v>
      </c>
      <c r="E22" s="95"/>
      <c r="F22" s="98"/>
      <c r="G22" s="99"/>
      <c r="H22" s="99"/>
      <c r="I22" s="100"/>
    </row>
    <row r="23" spans="1:9" ht="15" thickBot="1" x14ac:dyDescent="0.35">
      <c r="A23" s="106" t="s">
        <v>125</v>
      </c>
      <c r="B23" s="1278" t="s">
        <v>460</v>
      </c>
      <c r="C23" s="1278"/>
      <c r="D23" s="353">
        <f>+D7</f>
        <v>6654.2900000000009</v>
      </c>
      <c r="E23" s="23"/>
      <c r="F23" s="1262"/>
      <c r="G23" s="1262"/>
      <c r="H23" s="101"/>
      <c r="I23" s="102"/>
    </row>
    <row r="24" spans="1:9" x14ac:dyDescent="0.3">
      <c r="A24" s="108" t="s">
        <v>279</v>
      </c>
      <c r="B24" s="1263" t="s">
        <v>121</v>
      </c>
      <c r="C24" s="1263"/>
      <c r="D24" s="351">
        <f>+D25+D26</f>
        <v>20174.039999999997</v>
      </c>
    </row>
    <row r="25" spans="1:9" x14ac:dyDescent="0.3">
      <c r="A25" s="103" t="s">
        <v>280</v>
      </c>
      <c r="B25" s="1265" t="s">
        <v>122</v>
      </c>
      <c r="C25" s="1265"/>
      <c r="D25" s="352">
        <f>+I4</f>
        <v>19374.489999999998</v>
      </c>
    </row>
    <row r="26" spans="1:9" ht="15" thickBot="1" x14ac:dyDescent="0.35">
      <c r="A26" s="106" t="s">
        <v>281</v>
      </c>
      <c r="B26" s="1273" t="s">
        <v>284</v>
      </c>
      <c r="C26" s="1273"/>
      <c r="D26" s="354">
        <v>799.55</v>
      </c>
    </row>
    <row r="27" spans="1:9" ht="8.1" customHeight="1" thickBot="1" x14ac:dyDescent="0.35">
      <c r="A27" s="1275"/>
      <c r="B27" s="1276"/>
      <c r="C27" s="1276"/>
      <c r="D27" s="1277"/>
    </row>
    <row r="28" spans="1:9" ht="15.6" x14ac:dyDescent="0.3">
      <c r="A28" s="107">
        <v>4</v>
      </c>
      <c r="B28" s="1274" t="s">
        <v>350</v>
      </c>
      <c r="C28" s="1274"/>
      <c r="D28" s="355">
        <f>+D29-D30</f>
        <v>32415.109999999997</v>
      </c>
    </row>
    <row r="29" spans="1:9" x14ac:dyDescent="0.3">
      <c r="A29" s="103" t="s">
        <v>282</v>
      </c>
      <c r="B29" s="1285" t="s">
        <v>261</v>
      </c>
      <c r="C29" s="1285"/>
      <c r="D29" s="349">
        <f>+D20</f>
        <v>33214.659999999996</v>
      </c>
    </row>
    <row r="30" spans="1:9" ht="15" thickBot="1" x14ac:dyDescent="0.35">
      <c r="A30" s="104" t="s">
        <v>283</v>
      </c>
      <c r="B30" s="1286" t="s">
        <v>470</v>
      </c>
      <c r="C30" s="1286"/>
      <c r="D30" s="350">
        <f>+D26</f>
        <v>799.55</v>
      </c>
    </row>
    <row r="31" spans="1:9" ht="15.6" thickTop="1" thickBot="1" x14ac:dyDescent="0.35"/>
    <row r="32" spans="1:9" x14ac:dyDescent="0.3">
      <c r="B32" s="1279" t="s">
        <v>261</v>
      </c>
      <c r="C32" s="1280"/>
      <c r="D32" s="836">
        <f>+D29</f>
        <v>33214.659999999996</v>
      </c>
    </row>
    <row r="33" spans="2:4" x14ac:dyDescent="0.3">
      <c r="B33" s="1281" t="s">
        <v>470</v>
      </c>
      <c r="C33" s="1282"/>
      <c r="D33" s="838">
        <f>+D30</f>
        <v>799.55</v>
      </c>
    </row>
    <row r="34" spans="2:4" ht="15" thickBot="1" x14ac:dyDescent="0.35">
      <c r="B34" s="1283" t="s">
        <v>350</v>
      </c>
      <c r="C34" s="1284"/>
      <c r="D34" s="837">
        <f>+D28</f>
        <v>32415.109999999997</v>
      </c>
    </row>
  </sheetData>
  <sheetProtection algorithmName="SHA-512" hashValue="CkrGGQpjKywPKZPRXmEnFiVUi8bMlopc3uu2is16U+EkB7klrFvsmuA1lbwjBX4fnrG+QL6Hqb8bFyirk4qMww==" saltValue="qqqNuXl8r3/LXl/vGvte2w==" spinCount="100000" sheet="1" objects="1" scenarios="1" selectLockedCells="1" selectUnlockedCells="1"/>
  <mergeCells count="50">
    <mergeCell ref="B32:C32"/>
    <mergeCell ref="B33:C33"/>
    <mergeCell ref="B34:C34"/>
    <mergeCell ref="B29:C29"/>
    <mergeCell ref="B30:C30"/>
    <mergeCell ref="B20:C20"/>
    <mergeCell ref="B25:C25"/>
    <mergeCell ref="B26:C26"/>
    <mergeCell ref="B28:C28"/>
    <mergeCell ref="A27:D27"/>
    <mergeCell ref="B24:C24"/>
    <mergeCell ref="B23:C23"/>
    <mergeCell ref="F23:G23"/>
    <mergeCell ref="B21:C21"/>
    <mergeCell ref="G21:H21"/>
    <mergeCell ref="B22:C22"/>
    <mergeCell ref="F7:G7"/>
    <mergeCell ref="F8:G8"/>
    <mergeCell ref="F9:G9"/>
    <mergeCell ref="A8:C8"/>
    <mergeCell ref="A9:C9"/>
    <mergeCell ref="A17:C17"/>
    <mergeCell ref="A18:C18"/>
    <mergeCell ref="G17:H17"/>
    <mergeCell ref="G18:H18"/>
    <mergeCell ref="F10:G10"/>
    <mergeCell ref="F11:G11"/>
    <mergeCell ref="F12:G12"/>
    <mergeCell ref="F13:G13"/>
    <mergeCell ref="A10:C10"/>
    <mergeCell ref="A11:C11"/>
    <mergeCell ref="A12:C12"/>
    <mergeCell ref="B1:H1"/>
    <mergeCell ref="A2:I2"/>
    <mergeCell ref="G15:H16"/>
    <mergeCell ref="F15:F16"/>
    <mergeCell ref="I15:I16"/>
    <mergeCell ref="A13:C13"/>
    <mergeCell ref="B3:C3"/>
    <mergeCell ref="B4:C4"/>
    <mergeCell ref="A5:C5"/>
    <mergeCell ref="A6:C6"/>
    <mergeCell ref="B7:C7"/>
    <mergeCell ref="A14:C14"/>
    <mergeCell ref="A15:C15"/>
    <mergeCell ref="A16:C16"/>
    <mergeCell ref="G3:H3"/>
    <mergeCell ref="F5:G5"/>
    <mergeCell ref="F6:G6"/>
    <mergeCell ref="E3:E1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P30"/>
  <sheetViews>
    <sheetView zoomScaleNormal="100" workbookViewId="0">
      <selection activeCell="L2" sqref="L2"/>
    </sheetView>
  </sheetViews>
  <sheetFormatPr baseColWidth="10" defaultRowHeight="14.4" x14ac:dyDescent="0.3"/>
  <cols>
    <col min="1" max="1" width="3.5546875" customWidth="1"/>
    <col min="2" max="2" width="31.109375" bestFit="1" customWidth="1"/>
    <col min="3" max="3" width="12.109375" bestFit="1" customWidth="1"/>
    <col min="4" max="4" width="3.5546875" bestFit="1" customWidth="1"/>
    <col min="5" max="5" width="34.5546875" customWidth="1"/>
    <col min="6" max="6" width="12.109375" bestFit="1" customWidth="1"/>
    <col min="7" max="7" width="5.88671875" customWidth="1"/>
    <col min="8" max="8" width="60.5546875" bestFit="1" customWidth="1"/>
    <col min="9" max="9" width="10.109375" hidden="1" customWidth="1"/>
    <col min="10" max="10" width="11.6640625" bestFit="1" customWidth="1"/>
    <col min="12" max="12" width="16.109375" bestFit="1" customWidth="1"/>
    <col min="13" max="13" width="13.109375" bestFit="1" customWidth="1"/>
    <col min="14" max="14" width="6.33203125" style="47" bestFit="1" customWidth="1"/>
    <col min="15" max="15" width="14.6640625" bestFit="1" customWidth="1"/>
    <col min="16" max="16" width="6.33203125" bestFit="1" customWidth="1"/>
  </cols>
  <sheetData>
    <row r="1" spans="1:16" ht="16.8" thickTop="1" thickBot="1" x14ac:dyDescent="0.35">
      <c r="A1" s="1319" t="s">
        <v>134</v>
      </c>
      <c r="B1" s="1320"/>
      <c r="C1" s="1322"/>
      <c r="D1" s="1319" t="s">
        <v>133</v>
      </c>
      <c r="E1" s="1320"/>
      <c r="F1" s="1321"/>
      <c r="H1" s="1211" t="s">
        <v>145</v>
      </c>
      <c r="I1" s="1208"/>
      <c r="J1" s="1209"/>
      <c r="L1" s="1310" t="s">
        <v>145</v>
      </c>
      <c r="M1" s="1311"/>
      <c r="N1" s="1311"/>
      <c r="O1" s="1311"/>
      <c r="P1" s="1312"/>
    </row>
    <row r="2" spans="1:16" ht="6" customHeight="1" x14ac:dyDescent="0.3">
      <c r="A2" s="1317"/>
      <c r="B2" s="1214"/>
      <c r="C2" s="1323"/>
      <c r="D2" s="1317"/>
      <c r="E2" s="1214"/>
      <c r="F2" s="1318"/>
      <c r="H2" s="1303" t="s">
        <v>4</v>
      </c>
      <c r="I2" s="713" t="s">
        <v>143</v>
      </c>
      <c r="J2" s="722" t="s">
        <v>144</v>
      </c>
      <c r="L2" s="109" t="s">
        <v>346</v>
      </c>
      <c r="M2" s="111" t="s">
        <v>143</v>
      </c>
      <c r="N2" s="125" t="s">
        <v>5</v>
      </c>
      <c r="O2" s="121" t="s">
        <v>144</v>
      </c>
      <c r="P2" s="110" t="s">
        <v>5</v>
      </c>
    </row>
    <row r="3" spans="1:16" ht="15.6" x14ac:dyDescent="0.3">
      <c r="A3" s="1139" t="s">
        <v>135</v>
      </c>
      <c r="B3" s="364" t="s">
        <v>38</v>
      </c>
      <c r="C3" s="707">
        <f>+C5+C9</f>
        <v>13040.62</v>
      </c>
      <c r="D3" s="1139" t="s">
        <v>136</v>
      </c>
      <c r="E3" s="365" t="s">
        <v>38</v>
      </c>
      <c r="F3" s="1140">
        <f>+F5+F9</f>
        <v>22305.420000000002</v>
      </c>
      <c r="H3" s="1303"/>
      <c r="I3" s="714" t="s">
        <v>114</v>
      </c>
      <c r="J3" s="723" t="s">
        <v>114</v>
      </c>
      <c r="L3" s="112" t="s">
        <v>343</v>
      </c>
      <c r="M3" s="113">
        <f>+M4+M5</f>
        <v>13040.62</v>
      </c>
      <c r="N3" s="126">
        <f>+M3/M3</f>
        <v>1</v>
      </c>
      <c r="O3" s="122">
        <f>+O4+O5</f>
        <v>22305.420000000002</v>
      </c>
      <c r="P3" s="118">
        <f>+O3/O3</f>
        <v>1</v>
      </c>
    </row>
    <row r="4" spans="1:16" ht="6" customHeight="1" x14ac:dyDescent="0.3">
      <c r="A4" s="1317"/>
      <c r="B4" s="1214"/>
      <c r="C4" s="1323"/>
      <c r="D4" s="1317"/>
      <c r="E4" s="1214"/>
      <c r="F4" s="1318"/>
      <c r="H4" s="362" t="s">
        <v>273</v>
      </c>
      <c r="I4" s="715">
        <v>535</v>
      </c>
      <c r="J4" s="724">
        <v>992</v>
      </c>
      <c r="L4" s="114" t="s">
        <v>344</v>
      </c>
      <c r="M4" s="115">
        <f>+C5</f>
        <v>6386.33</v>
      </c>
      <c r="N4" s="127">
        <f>+M4/M3</f>
        <v>0.48972594861287266</v>
      </c>
      <c r="O4" s="123">
        <f>+F5</f>
        <v>16803.670000000002</v>
      </c>
      <c r="P4" s="119">
        <f>+O4/O3</f>
        <v>0.75334470276730947</v>
      </c>
    </row>
    <row r="5" spans="1:16" ht="15" thickBot="1" x14ac:dyDescent="0.35">
      <c r="A5" s="389" t="s">
        <v>119</v>
      </c>
      <c r="B5" s="358" t="s">
        <v>127</v>
      </c>
      <c r="C5" s="708">
        <f>SUM(C6:C7)</f>
        <v>6386.33</v>
      </c>
      <c r="D5" s="1141" t="s">
        <v>123</v>
      </c>
      <c r="E5" s="358" t="s">
        <v>127</v>
      </c>
      <c r="F5" s="1142">
        <f>SUM(F6:F7)</f>
        <v>16803.670000000002</v>
      </c>
      <c r="H5" s="362" t="s">
        <v>139</v>
      </c>
      <c r="I5" s="716">
        <f>+I6/I4</f>
        <v>3.7420560747663552</v>
      </c>
      <c r="J5" s="725">
        <f>+CabxUso!E12</f>
        <v>3.0419354838709678</v>
      </c>
      <c r="K5" s="34"/>
      <c r="L5" s="116" t="s">
        <v>345</v>
      </c>
      <c r="M5" s="117">
        <f>+C9</f>
        <v>6654.2900000000009</v>
      </c>
      <c r="N5" s="128">
        <f>+M5/M3</f>
        <v>0.51027405138712734</v>
      </c>
      <c r="O5" s="124">
        <f>+F9</f>
        <v>5501.75</v>
      </c>
      <c r="P5" s="120">
        <f>+O5/O3</f>
        <v>0.2466552972326905</v>
      </c>
    </row>
    <row r="6" spans="1:16" ht="15" thickBot="1" x14ac:dyDescent="0.35">
      <c r="A6" s="1324" t="s">
        <v>128</v>
      </c>
      <c r="B6" s="1325"/>
      <c r="C6" s="709">
        <f>+SloPub!B18</f>
        <v>3968.9</v>
      </c>
      <c r="D6" s="1315" t="s">
        <v>130</v>
      </c>
      <c r="E6" s="1316"/>
      <c r="F6" s="392">
        <f>+PartSloPyP!C9</f>
        <v>6540.14</v>
      </c>
      <c r="G6" s="21"/>
      <c r="H6" s="366" t="s">
        <v>140</v>
      </c>
      <c r="I6" s="717">
        <v>2002</v>
      </c>
      <c r="J6" s="726">
        <f>+J4*J5</f>
        <v>3017.6</v>
      </c>
    </row>
    <row r="7" spans="1:16" x14ac:dyDescent="0.3">
      <c r="A7" s="1324" t="s">
        <v>129</v>
      </c>
      <c r="B7" s="1325"/>
      <c r="C7" s="709">
        <f>+SloPub!B19</f>
        <v>2417.4299999999998</v>
      </c>
      <c r="D7" s="1315" t="s">
        <v>131</v>
      </c>
      <c r="E7" s="1316"/>
      <c r="F7" s="392">
        <f>+PartSloPyP!C10</f>
        <v>10263.530000000001</v>
      </c>
      <c r="H7" s="367" t="s">
        <v>38</v>
      </c>
      <c r="I7" s="718">
        <f>+C3</f>
        <v>13040.62</v>
      </c>
      <c r="J7" s="727">
        <f>+F3</f>
        <v>22305.420000000002</v>
      </c>
    </row>
    <row r="8" spans="1:16" ht="6" customHeight="1" thickBot="1" x14ac:dyDescent="0.35">
      <c r="A8" s="1317"/>
      <c r="B8" s="1214"/>
      <c r="C8" s="1323"/>
      <c r="D8" s="1317"/>
      <c r="E8" s="1214"/>
      <c r="F8" s="1318"/>
      <c r="H8" s="368" t="s">
        <v>141</v>
      </c>
      <c r="I8" s="719">
        <f>+I7/I6</f>
        <v>6.5137962037962041</v>
      </c>
      <c r="J8" s="728">
        <f>+J7/J6</f>
        <v>7.391774920466597</v>
      </c>
    </row>
    <row r="9" spans="1:16" x14ac:dyDescent="0.3">
      <c r="A9" s="389" t="s">
        <v>120</v>
      </c>
      <c r="B9" s="358" t="s">
        <v>132</v>
      </c>
      <c r="C9" s="710">
        <f>SUM(C10:C20)</f>
        <v>6654.2900000000009</v>
      </c>
      <c r="D9" s="1150" t="s">
        <v>125</v>
      </c>
      <c r="E9" s="358" t="s">
        <v>132</v>
      </c>
      <c r="F9" s="1142">
        <f>+F10+F12+F14+F16+F18</f>
        <v>5501.75</v>
      </c>
      <c r="H9" s="367" t="s">
        <v>127</v>
      </c>
      <c r="I9" s="718">
        <f>+C5</f>
        <v>6386.33</v>
      </c>
      <c r="J9" s="727">
        <f>+F5</f>
        <v>16803.670000000002</v>
      </c>
    </row>
    <row r="10" spans="1:16" ht="18.600000000000001" thickBot="1" x14ac:dyDescent="0.4">
      <c r="A10" s="1313" t="s">
        <v>98</v>
      </c>
      <c r="B10" s="1314"/>
      <c r="C10" s="711">
        <v>47.81</v>
      </c>
      <c r="D10" s="1304" t="s">
        <v>137</v>
      </c>
      <c r="E10" s="1305"/>
      <c r="F10" s="1306">
        <f>+PartSloPyP!C4</f>
        <v>937.54</v>
      </c>
      <c r="H10" s="368" t="s">
        <v>142</v>
      </c>
      <c r="I10" s="720">
        <f>+I9/I6</f>
        <v>3.1899750249750247</v>
      </c>
      <c r="J10" s="729">
        <f>+J9/J6</f>
        <v>5.5685544803817608</v>
      </c>
    </row>
    <row r="11" spans="1:16" x14ac:dyDescent="0.3">
      <c r="A11" s="1290" t="s">
        <v>7</v>
      </c>
      <c r="B11" s="1291"/>
      <c r="C11" s="712">
        <v>513.20000000000005</v>
      </c>
      <c r="D11" s="1301"/>
      <c r="E11" s="1302"/>
      <c r="F11" s="1289"/>
      <c r="H11" s="369"/>
      <c r="I11" s="370"/>
      <c r="J11" s="371"/>
    </row>
    <row r="12" spans="1:16" ht="18" x14ac:dyDescent="0.3">
      <c r="A12" s="1290" t="s">
        <v>8</v>
      </c>
      <c r="B12" s="1291"/>
      <c r="C12" s="712">
        <v>680.97</v>
      </c>
      <c r="D12" s="1301" t="s">
        <v>100</v>
      </c>
      <c r="E12" s="1302"/>
      <c r="F12" s="1289">
        <f>+PartSloPyP!C5</f>
        <v>975.23</v>
      </c>
      <c r="H12" s="1307" t="s">
        <v>210</v>
      </c>
      <c r="I12" s="1308"/>
      <c r="J12" s="1309"/>
    </row>
    <row r="13" spans="1:16" x14ac:dyDescent="0.3">
      <c r="A13" s="1290" t="s">
        <v>9</v>
      </c>
      <c r="B13" s="1291"/>
      <c r="C13" s="712">
        <v>617.94000000000005</v>
      </c>
      <c r="D13" s="1301"/>
      <c r="E13" s="1302"/>
      <c r="F13" s="1289"/>
      <c r="H13" s="1303" t="s">
        <v>4</v>
      </c>
      <c r="I13" s="713" t="s">
        <v>143</v>
      </c>
      <c r="J13" s="722" t="s">
        <v>144</v>
      </c>
      <c r="L13" s="48"/>
      <c r="O13" s="21"/>
    </row>
    <row r="14" spans="1:16" x14ac:dyDescent="0.3">
      <c r="A14" s="1290" t="s">
        <v>15</v>
      </c>
      <c r="B14" s="1291"/>
      <c r="C14" s="712">
        <v>327.8</v>
      </c>
      <c r="D14" s="1301" t="s">
        <v>138</v>
      </c>
      <c r="E14" s="1302"/>
      <c r="F14" s="1289">
        <f>+PartSloPyP!C6</f>
        <v>1426.59</v>
      </c>
      <c r="H14" s="1303"/>
      <c r="I14" s="714" t="s">
        <v>114</v>
      </c>
      <c r="J14" s="723" t="s">
        <v>114</v>
      </c>
    </row>
    <row r="15" spans="1:16" ht="15" thickBot="1" x14ac:dyDescent="0.35">
      <c r="A15" s="1290" t="s">
        <v>16</v>
      </c>
      <c r="B15" s="1291"/>
      <c r="C15" s="712">
        <v>71.02</v>
      </c>
      <c r="D15" s="1301"/>
      <c r="E15" s="1302"/>
      <c r="F15" s="1289"/>
      <c r="H15" s="1099" t="s">
        <v>140</v>
      </c>
      <c r="I15" s="1100">
        <v>2002</v>
      </c>
      <c r="J15" s="1101">
        <f>+J6</f>
        <v>3017.6</v>
      </c>
      <c r="K15" s="357"/>
    </row>
    <row r="16" spans="1:16" x14ac:dyDescent="0.3">
      <c r="A16" s="1290" t="s">
        <v>14</v>
      </c>
      <c r="B16" s="1291"/>
      <c r="C16" s="712">
        <v>326.20999999999998</v>
      </c>
      <c r="D16" s="1301" t="s">
        <v>102</v>
      </c>
      <c r="E16" s="1302"/>
      <c r="F16" s="1289">
        <f>+PartSloPyP!C7</f>
        <v>798.57999999999993</v>
      </c>
      <c r="H16" s="1096" t="s">
        <v>208</v>
      </c>
      <c r="I16" s="1097">
        <v>0</v>
      </c>
      <c r="J16" s="1098">
        <f>+PartSloPyP!C18</f>
        <v>955.33999999999992</v>
      </c>
    </row>
    <row r="17" spans="1:14" x14ac:dyDescent="0.3">
      <c r="A17" s="1290" t="s">
        <v>13</v>
      </c>
      <c r="B17" s="1291"/>
      <c r="C17" s="712">
        <v>1750.9</v>
      </c>
      <c r="D17" s="1301"/>
      <c r="E17" s="1302"/>
      <c r="F17" s="1289"/>
      <c r="H17" s="363" t="s">
        <v>495</v>
      </c>
      <c r="I17" s="721">
        <v>0</v>
      </c>
      <c r="J17" s="730">
        <f>+PartSloPyP!C17</f>
        <v>392</v>
      </c>
    </row>
    <row r="18" spans="1:14" ht="15" customHeight="1" x14ac:dyDescent="0.3">
      <c r="A18" s="1290" t="s">
        <v>12</v>
      </c>
      <c r="B18" s="1291"/>
      <c r="C18" s="712">
        <v>692.75</v>
      </c>
      <c r="D18" s="1292" t="s">
        <v>72</v>
      </c>
      <c r="E18" s="1293"/>
      <c r="F18" s="1298">
        <f>+PartSloPyP!C8</f>
        <v>1363.81</v>
      </c>
      <c r="H18" s="363" t="s">
        <v>209</v>
      </c>
      <c r="I18" s="721">
        <v>0</v>
      </c>
      <c r="J18" s="730">
        <f>(280.56+280.56+171.58)*2</f>
        <v>1465.4</v>
      </c>
    </row>
    <row r="19" spans="1:14" s="47" customFormat="1" ht="15" thickBot="1" x14ac:dyDescent="0.35">
      <c r="A19" s="1290" t="s">
        <v>11</v>
      </c>
      <c r="B19" s="1291"/>
      <c r="C19" s="712">
        <v>691.26</v>
      </c>
      <c r="D19" s="1294"/>
      <c r="E19" s="1295"/>
      <c r="F19" s="1299"/>
      <c r="H19" s="1093" t="s">
        <v>485</v>
      </c>
      <c r="I19" s="1094">
        <v>0</v>
      </c>
      <c r="J19" s="1095">
        <f>82+82</f>
        <v>164</v>
      </c>
    </row>
    <row r="20" spans="1:14" ht="16.8" thickTop="1" thickBot="1" x14ac:dyDescent="0.35">
      <c r="A20" s="1287" t="s">
        <v>10</v>
      </c>
      <c r="B20" s="1288"/>
      <c r="C20" s="1149">
        <v>934.43</v>
      </c>
      <c r="D20" s="1296"/>
      <c r="E20" s="1297"/>
      <c r="F20" s="1300"/>
      <c r="H20" s="1146" t="s">
        <v>490</v>
      </c>
      <c r="I20" s="1147">
        <v>0</v>
      </c>
      <c r="J20" s="1148">
        <f>+J16+J17+J18+J19</f>
        <v>2976.74</v>
      </c>
      <c r="L20" s="21">
        <f>+J9+J20</f>
        <v>19780.410000000003</v>
      </c>
      <c r="M20">
        <f>+L20/CabxUso!F12</f>
        <v>6.5550139183457068</v>
      </c>
    </row>
    <row r="21" spans="1:14" ht="15.6" thickTop="1" thickBot="1" x14ac:dyDescent="0.35">
      <c r="H21" s="1143" t="s">
        <v>249</v>
      </c>
      <c r="I21" s="1144">
        <f>+I20/I15</f>
        <v>0</v>
      </c>
      <c r="J21" s="1145">
        <f>+J20/J15</f>
        <v>0.98645943796394486</v>
      </c>
      <c r="L21" s="48"/>
      <c r="M21" s="21"/>
      <c r="N21" s="21"/>
    </row>
    <row r="23" spans="1:14" x14ac:dyDescent="0.3">
      <c r="A23" s="47"/>
      <c r="B23" s="47"/>
      <c r="C23" s="47"/>
      <c r="D23" s="47"/>
      <c r="E23" s="47"/>
      <c r="F23" s="47"/>
      <c r="J23" s="48"/>
      <c r="K23" s="48">
        <f>+J10+J21</f>
        <v>6.5550139183457059</v>
      </c>
    </row>
    <row r="24" spans="1:14" s="47" customFormat="1" x14ac:dyDescent="0.3">
      <c r="A24"/>
      <c r="B24"/>
      <c r="C24" s="33"/>
      <c r="D24"/>
      <c r="E24"/>
      <c r="F24"/>
      <c r="H24"/>
      <c r="I24"/>
      <c r="J24"/>
    </row>
    <row r="30" spans="1:14" x14ac:dyDescent="0.3">
      <c r="K30" s="14"/>
    </row>
  </sheetData>
  <sheetProtection algorithmName="SHA-512" hashValue="ieegIEFY6zIy4oLP5YeT8ukP/MqjCe/hg17dfNzp3SGeF8a7HxSaMLCkP1bgD9lOhuUI7kzl8ADbxMV9duhb2g==" saltValue="Ngamy3vwqHqROA5k3StKCQ==" spinCount="100000" sheet="1" objects="1" scenarios="1" selectLockedCells="1" selectUnlockedCells="1"/>
  <mergeCells count="38">
    <mergeCell ref="L1:P1"/>
    <mergeCell ref="A10:B10"/>
    <mergeCell ref="D7:E7"/>
    <mergeCell ref="D6:E6"/>
    <mergeCell ref="D2:F2"/>
    <mergeCell ref="D1:F1"/>
    <mergeCell ref="A1:C1"/>
    <mergeCell ref="A8:C8"/>
    <mergeCell ref="A2:C2"/>
    <mergeCell ref="A4:C4"/>
    <mergeCell ref="D4:F4"/>
    <mergeCell ref="D8:F8"/>
    <mergeCell ref="A6:B6"/>
    <mergeCell ref="A7:B7"/>
    <mergeCell ref="A12:B12"/>
    <mergeCell ref="A13:B13"/>
    <mergeCell ref="A14:B14"/>
    <mergeCell ref="A15:B15"/>
    <mergeCell ref="A11:B11"/>
    <mergeCell ref="D14:E15"/>
    <mergeCell ref="D16:E17"/>
    <mergeCell ref="F14:F15"/>
    <mergeCell ref="H1:J1"/>
    <mergeCell ref="H2:H3"/>
    <mergeCell ref="D10:E11"/>
    <mergeCell ref="D12:E13"/>
    <mergeCell ref="F10:F11"/>
    <mergeCell ref="F12:F13"/>
    <mergeCell ref="H12:J12"/>
    <mergeCell ref="H13:H14"/>
    <mergeCell ref="A20:B20"/>
    <mergeCell ref="F16:F17"/>
    <mergeCell ref="A16:B16"/>
    <mergeCell ref="A17:B17"/>
    <mergeCell ref="A18:B18"/>
    <mergeCell ref="A19:B19"/>
    <mergeCell ref="D18:E20"/>
    <mergeCell ref="F18:F20"/>
  </mergeCells>
  <phoneticPr fontId="3" type="noConversion"/>
  <pageMargins left="0.70866141732283472" right="0.70866141732283472" top="0.74803149606299213" bottom="0.74803149606299213" header="0.31496062992125984" footer="0.31496062992125984"/>
  <pageSetup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L39"/>
  <sheetViews>
    <sheetView zoomScaleNormal="100" workbookViewId="0">
      <selection activeCell="H52" sqref="H52"/>
    </sheetView>
  </sheetViews>
  <sheetFormatPr baseColWidth="10" defaultRowHeight="14.4" x14ac:dyDescent="0.3"/>
  <cols>
    <col min="1" max="1" width="31" customWidth="1"/>
    <col min="2" max="2" width="5.5546875" style="54" hidden="1" customWidth="1"/>
    <col min="3" max="3" width="10.6640625" customWidth="1"/>
    <col min="4" max="4" width="6.33203125" bestFit="1" customWidth="1"/>
    <col min="5" max="5" width="10.6640625" customWidth="1"/>
    <col min="6" max="6" width="5.109375" bestFit="1" customWidth="1"/>
    <col min="7" max="7" width="10.6640625" customWidth="1"/>
    <col min="8" max="8" width="5.6640625" bestFit="1" customWidth="1"/>
    <col min="10" max="10" width="13.44140625" customWidth="1"/>
    <col min="11" max="11" width="13.5546875" bestFit="1" customWidth="1"/>
  </cols>
  <sheetData>
    <row r="1" spans="1:12" ht="18" thickTop="1" x14ac:dyDescent="0.3">
      <c r="A1" s="1326" t="s">
        <v>278</v>
      </c>
      <c r="B1" s="1327"/>
      <c r="C1" s="1327"/>
      <c r="D1" s="1327"/>
      <c r="E1" s="1327"/>
      <c r="F1" s="1327"/>
      <c r="G1" s="1327"/>
      <c r="H1" s="1151"/>
    </row>
    <row r="2" spans="1:12" ht="6" customHeight="1" thickBot="1" x14ac:dyDescent="0.35">
      <c r="A2" s="1152"/>
      <c r="B2" s="1153"/>
      <c r="C2" s="1153"/>
      <c r="D2" s="1164"/>
      <c r="E2" s="1153"/>
      <c r="F2" s="1153"/>
      <c r="G2" s="1153"/>
      <c r="H2" s="1154"/>
    </row>
    <row r="3" spans="1:12" x14ac:dyDescent="0.3">
      <c r="A3" s="742" t="s">
        <v>71</v>
      </c>
      <c r="B3" s="1167" t="s">
        <v>5</v>
      </c>
      <c r="C3" s="742" t="s">
        <v>33</v>
      </c>
      <c r="D3" s="734" t="s">
        <v>5</v>
      </c>
      <c r="E3" s="748" t="s">
        <v>337</v>
      </c>
      <c r="F3" s="755" t="s">
        <v>5</v>
      </c>
      <c r="G3" s="1178" t="s">
        <v>338</v>
      </c>
      <c r="H3" s="734" t="s">
        <v>5</v>
      </c>
    </row>
    <row r="4" spans="1:12" ht="39.6" x14ac:dyDescent="0.3">
      <c r="A4" s="743" t="s">
        <v>99</v>
      </c>
      <c r="B4" s="1168">
        <f t="shared" ref="B4:B11" si="0">+C4*B$25/C$25</f>
        <v>2.8922931311971482E-2</v>
      </c>
      <c r="C4" s="1173">
        <f t="shared" ref="C4:C10" si="1">+E4+G4</f>
        <v>937.54</v>
      </c>
      <c r="D4" s="735">
        <f>+C4/C4</f>
        <v>1</v>
      </c>
      <c r="E4" s="749">
        <v>674.62</v>
      </c>
      <c r="F4" s="756">
        <f t="shared" ref="F4:F10" si="2">+E4*D4/C4</f>
        <v>0.71956396527081512</v>
      </c>
      <c r="G4" s="1179">
        <v>262.92</v>
      </c>
      <c r="H4" s="735">
        <f t="shared" ref="H4:H10" si="3">+G4*D4/C4</f>
        <v>0.28043603472918494</v>
      </c>
    </row>
    <row r="5" spans="1:12" ht="13.5" customHeight="1" x14ac:dyDescent="0.3">
      <c r="A5" s="743" t="s">
        <v>100</v>
      </c>
      <c r="B5" s="1168">
        <f t="shared" si="0"/>
        <v>3.0085660668743682E-2</v>
      </c>
      <c r="C5" s="1173">
        <f t="shared" si="1"/>
        <v>975.23</v>
      </c>
      <c r="D5" s="735">
        <f t="shared" ref="D5:D10" si="4">+C5/C5</f>
        <v>1</v>
      </c>
      <c r="E5" s="749">
        <v>715.03</v>
      </c>
      <c r="F5" s="756">
        <f t="shared" si="2"/>
        <v>0.73319114465305613</v>
      </c>
      <c r="G5" s="1179">
        <v>260.2</v>
      </c>
      <c r="H5" s="735">
        <f t="shared" si="3"/>
        <v>0.26680885534694376</v>
      </c>
    </row>
    <row r="6" spans="1:12" ht="26.4" x14ac:dyDescent="0.3">
      <c r="A6" s="743" t="s">
        <v>101</v>
      </c>
      <c r="B6" s="1168">
        <f t="shared" si="0"/>
        <v>4.4010031124373787E-2</v>
      </c>
      <c r="C6" s="1173">
        <f t="shared" si="1"/>
        <v>1426.59</v>
      </c>
      <c r="D6" s="735">
        <f t="shared" si="4"/>
        <v>1</v>
      </c>
      <c r="E6" s="749">
        <v>90.54</v>
      </c>
      <c r="F6" s="756">
        <f t="shared" si="2"/>
        <v>6.3466027379976031E-2</v>
      </c>
      <c r="G6" s="1179">
        <v>1336.05</v>
      </c>
      <c r="H6" s="735">
        <f t="shared" si="3"/>
        <v>0.93653397262002402</v>
      </c>
    </row>
    <row r="7" spans="1:12" ht="39.6" x14ac:dyDescent="0.3">
      <c r="A7" s="743" t="s">
        <v>102</v>
      </c>
      <c r="B7" s="1168">
        <f t="shared" si="0"/>
        <v>2.463604164847813E-2</v>
      </c>
      <c r="C7" s="1173">
        <f t="shared" si="1"/>
        <v>798.57999999999993</v>
      </c>
      <c r="D7" s="735">
        <f t="shared" si="4"/>
        <v>1</v>
      </c>
      <c r="E7" s="749">
        <v>95.16</v>
      </c>
      <c r="F7" s="756">
        <f t="shared" si="2"/>
        <v>0.11916151168323776</v>
      </c>
      <c r="G7" s="1179">
        <v>703.42</v>
      </c>
      <c r="H7" s="735">
        <f t="shared" si="3"/>
        <v>0.88083848831676226</v>
      </c>
    </row>
    <row r="8" spans="1:12" ht="26.4" x14ac:dyDescent="0.3">
      <c r="A8" s="743" t="s">
        <v>72</v>
      </c>
      <c r="B8" s="1168">
        <f t="shared" si="0"/>
        <v>4.207328002280418E-2</v>
      </c>
      <c r="C8" s="1173">
        <f t="shared" si="1"/>
        <v>1363.81</v>
      </c>
      <c r="D8" s="735">
        <f t="shared" si="4"/>
        <v>1</v>
      </c>
      <c r="E8" s="749">
        <f>669.31+30.21</f>
        <v>699.52</v>
      </c>
      <c r="F8" s="756">
        <f t="shared" si="2"/>
        <v>0.51291602202652864</v>
      </c>
      <c r="G8" s="1179">
        <v>664.29</v>
      </c>
      <c r="H8" s="735">
        <f t="shared" si="3"/>
        <v>0.48708397797347136</v>
      </c>
    </row>
    <row r="9" spans="1:12" ht="39.6" x14ac:dyDescent="0.3">
      <c r="A9" s="743" t="s">
        <v>73</v>
      </c>
      <c r="B9" s="1168">
        <f t="shared" si="0"/>
        <v>0.20176207947466476</v>
      </c>
      <c r="C9" s="1173">
        <f t="shared" si="1"/>
        <v>6540.14</v>
      </c>
      <c r="D9" s="735">
        <f t="shared" si="4"/>
        <v>1</v>
      </c>
      <c r="E9" s="749">
        <v>5433</v>
      </c>
      <c r="F9" s="756">
        <f t="shared" si="2"/>
        <v>0.83071616203934473</v>
      </c>
      <c r="G9" s="1179">
        <v>1107.1400000000001</v>
      </c>
      <c r="H9" s="735">
        <f t="shared" si="3"/>
        <v>0.16928383796065527</v>
      </c>
    </row>
    <row r="10" spans="1:12" ht="26.4" x14ac:dyDescent="0.3">
      <c r="A10" s="743" t="s">
        <v>74</v>
      </c>
      <c r="B10" s="1168">
        <f t="shared" si="0"/>
        <v>0.31662795529615667</v>
      </c>
      <c r="C10" s="1173">
        <f t="shared" si="1"/>
        <v>10263.530000000001</v>
      </c>
      <c r="D10" s="735">
        <f t="shared" si="4"/>
        <v>1</v>
      </c>
      <c r="E10" s="749">
        <f>3368.86+0.57</f>
        <v>3369.4300000000003</v>
      </c>
      <c r="F10" s="756">
        <f t="shared" si="2"/>
        <v>0.3282915332249236</v>
      </c>
      <c r="G10" s="1179">
        <v>6894.1</v>
      </c>
      <c r="H10" s="735">
        <f t="shared" si="3"/>
        <v>0.67170846677507645</v>
      </c>
    </row>
    <row r="11" spans="1:12" ht="15" thickBot="1" x14ac:dyDescent="0.35">
      <c r="A11" s="744" t="s">
        <v>324</v>
      </c>
      <c r="B11" s="1169">
        <f t="shared" si="0"/>
        <v>0.68811797954719256</v>
      </c>
      <c r="C11" s="1174">
        <f>SUM(C4:C10)</f>
        <v>22305.42</v>
      </c>
      <c r="D11" s="736">
        <f>+C11/C11</f>
        <v>1</v>
      </c>
      <c r="E11" s="750">
        <f>SUM(E4:E10)</f>
        <v>11077.3</v>
      </c>
      <c r="F11" s="757">
        <f>+E11*D11/C11</f>
        <v>0.4966192073496038</v>
      </c>
      <c r="G11" s="1180">
        <f>SUM(G4:G10)</f>
        <v>11228.12</v>
      </c>
      <c r="H11" s="736">
        <f>+G11*D11/C11</f>
        <v>0.50338079265039626</v>
      </c>
      <c r="I11" s="21"/>
      <c r="J11" s="14"/>
      <c r="K11" s="14"/>
    </row>
    <row r="12" spans="1:12" ht="6" customHeight="1" thickBot="1" x14ac:dyDescent="0.35">
      <c r="A12" s="1155"/>
      <c r="B12" s="1156"/>
      <c r="C12" s="1155"/>
      <c r="D12" s="1165"/>
      <c r="E12" s="1156"/>
      <c r="F12" s="1156"/>
      <c r="G12" s="1155"/>
      <c r="H12" s="1157"/>
    </row>
    <row r="13" spans="1:12" x14ac:dyDescent="0.3">
      <c r="A13" s="742" t="s">
        <v>71</v>
      </c>
      <c r="B13" s="1167" t="s">
        <v>5</v>
      </c>
      <c r="C13" s="742" t="s">
        <v>33</v>
      </c>
      <c r="D13" s="734" t="s">
        <v>5</v>
      </c>
      <c r="E13" s="748" t="s">
        <v>337</v>
      </c>
      <c r="F13" s="755" t="s">
        <v>5</v>
      </c>
      <c r="G13" s="1178" t="s">
        <v>338</v>
      </c>
      <c r="H13" s="734" t="s">
        <v>5</v>
      </c>
    </row>
    <row r="14" spans="1:12" ht="15" thickBot="1" x14ac:dyDescent="0.35">
      <c r="A14" s="745" t="s">
        <v>75</v>
      </c>
      <c r="B14" s="1170">
        <f>+C14*B25/C25</f>
        <v>2.9999898195625437E-2</v>
      </c>
      <c r="C14" s="1175">
        <f>+E14+G14</f>
        <v>972.45</v>
      </c>
      <c r="D14" s="737">
        <v>1</v>
      </c>
      <c r="E14" s="751">
        <v>0</v>
      </c>
      <c r="F14" s="758">
        <f>+E14*D14/C14</f>
        <v>0</v>
      </c>
      <c r="G14" s="1181">
        <f>+ROUND(AportSlo!I15*3%,2)</f>
        <v>972.45</v>
      </c>
      <c r="H14" s="737">
        <f>+G14*D14/C14</f>
        <v>1</v>
      </c>
    </row>
    <row r="15" spans="1:12" ht="6" customHeight="1" thickBot="1" x14ac:dyDescent="0.35">
      <c r="A15" s="738"/>
      <c r="B15" s="1171"/>
      <c r="C15" s="1176"/>
      <c r="D15" s="739"/>
      <c r="E15" s="1161"/>
      <c r="F15" s="1162"/>
      <c r="G15" s="738"/>
      <c r="H15" s="739"/>
      <c r="J15" s="14"/>
    </row>
    <row r="16" spans="1:12" x14ac:dyDescent="0.3">
      <c r="A16" s="742" t="s">
        <v>76</v>
      </c>
      <c r="B16" s="1167" t="s">
        <v>5</v>
      </c>
      <c r="C16" s="742" t="s">
        <v>33</v>
      </c>
      <c r="D16" s="734" t="s">
        <v>5</v>
      </c>
      <c r="E16" s="752" t="s">
        <v>337</v>
      </c>
      <c r="F16" s="755" t="s">
        <v>5</v>
      </c>
      <c r="G16" s="1182" t="s">
        <v>338</v>
      </c>
      <c r="H16" s="734" t="s">
        <v>5</v>
      </c>
      <c r="J16" s="14"/>
      <c r="L16" s="18"/>
    </row>
    <row r="17" spans="1:12" ht="26.4" x14ac:dyDescent="0.3">
      <c r="A17" s="743" t="s">
        <v>318</v>
      </c>
      <c r="B17" s="1168">
        <f t="shared" ref="B17:B23" si="5">+C17*B$25/C$25</f>
        <v>1.2093125705882226E-2</v>
      </c>
      <c r="C17" s="1173">
        <f t="shared" ref="C17:C22" si="6">+E17+G17</f>
        <v>392</v>
      </c>
      <c r="D17" s="735">
        <f>+C17/C17</f>
        <v>1</v>
      </c>
      <c r="E17" s="749">
        <v>196</v>
      </c>
      <c r="F17" s="756">
        <f>+E17*D17/C17</f>
        <v>0.5</v>
      </c>
      <c r="G17" s="1179">
        <v>196</v>
      </c>
      <c r="H17" s="735">
        <f t="shared" ref="H17:H23" si="7">+G17*D17/C17</f>
        <v>0.5</v>
      </c>
      <c r="L17" s="18"/>
    </row>
    <row r="18" spans="1:12" ht="15" customHeight="1" x14ac:dyDescent="0.3">
      <c r="A18" s="743" t="s">
        <v>319</v>
      </c>
      <c r="B18" s="1168">
        <f t="shared" si="5"/>
        <v>2.9472057938412052E-2</v>
      </c>
      <c r="C18" s="1173">
        <f t="shared" si="6"/>
        <v>955.33999999999992</v>
      </c>
      <c r="D18" s="735">
        <f t="shared" ref="D18:D22" si="8">+C18/C18</f>
        <v>1</v>
      </c>
      <c r="E18" s="749">
        <f>286.44+184.97</f>
        <v>471.40999999999997</v>
      </c>
      <c r="F18" s="756">
        <f>+E18*D18/C18</f>
        <v>0.49344735905541481</v>
      </c>
      <c r="G18" s="1179">
        <f>286.44+197.49</f>
        <v>483.93</v>
      </c>
      <c r="H18" s="735">
        <f t="shared" si="7"/>
        <v>0.50655264094458519</v>
      </c>
    </row>
    <row r="19" spans="1:12" ht="26.4" x14ac:dyDescent="0.3">
      <c r="A19" s="746" t="s">
        <v>320</v>
      </c>
      <c r="B19" s="1172">
        <f t="shared" si="5"/>
        <v>0.11126169246379235</v>
      </c>
      <c r="C19" s="1177">
        <f t="shared" si="6"/>
        <v>3606.56</v>
      </c>
      <c r="D19" s="735">
        <f t="shared" si="8"/>
        <v>1</v>
      </c>
      <c r="E19" s="753">
        <f>901.64+901.64</f>
        <v>1803.28</v>
      </c>
      <c r="F19" s="756">
        <f t="shared" ref="F19:F22" si="9">+E19*D19/C19</f>
        <v>0.5</v>
      </c>
      <c r="G19" s="1183">
        <f>901.64+901.64</f>
        <v>1803.28</v>
      </c>
      <c r="H19" s="740">
        <f t="shared" si="7"/>
        <v>0.5</v>
      </c>
    </row>
    <row r="20" spans="1:12" s="47" customFormat="1" ht="39.6" x14ac:dyDescent="0.3">
      <c r="A20" s="746" t="s">
        <v>321</v>
      </c>
      <c r="B20" s="1172">
        <f t="shared" si="5"/>
        <v>2.6757274616683393E-2</v>
      </c>
      <c r="C20" s="1177">
        <f t="shared" si="6"/>
        <v>867.34</v>
      </c>
      <c r="D20" s="735">
        <f t="shared" si="8"/>
        <v>1</v>
      </c>
      <c r="E20" s="753">
        <v>433.67</v>
      </c>
      <c r="F20" s="756">
        <f t="shared" si="9"/>
        <v>0.5</v>
      </c>
      <c r="G20" s="1183">
        <v>433.67</v>
      </c>
      <c r="H20" s="740">
        <f t="shared" si="7"/>
        <v>0.5</v>
      </c>
    </row>
    <row r="21" spans="1:12" s="47" customFormat="1" ht="26.4" x14ac:dyDescent="0.3">
      <c r="A21" s="746" t="s">
        <v>322</v>
      </c>
      <c r="B21" s="1172">
        <f t="shared" si="5"/>
        <v>6.898017622028739E-2</v>
      </c>
      <c r="C21" s="1173">
        <f t="shared" si="6"/>
        <v>2236</v>
      </c>
      <c r="D21" s="735">
        <f t="shared" si="8"/>
        <v>1</v>
      </c>
      <c r="E21" s="753">
        <v>1332</v>
      </c>
      <c r="F21" s="756">
        <f t="shared" si="9"/>
        <v>0.59570661896243293</v>
      </c>
      <c r="G21" s="1183">
        <v>904</v>
      </c>
      <c r="H21" s="740">
        <f t="shared" si="7"/>
        <v>0.40429338103756707</v>
      </c>
    </row>
    <row r="22" spans="1:12" s="47" customFormat="1" x14ac:dyDescent="0.3">
      <c r="A22" s="746" t="s">
        <v>314</v>
      </c>
      <c r="B22" s="1172">
        <f t="shared" si="5"/>
        <v>3.3317795312124497E-2</v>
      </c>
      <c r="C22" s="1173">
        <f t="shared" si="6"/>
        <v>1080</v>
      </c>
      <c r="D22" s="735">
        <f t="shared" si="8"/>
        <v>1</v>
      </c>
      <c r="E22" s="753">
        <v>0</v>
      </c>
      <c r="F22" s="756">
        <f t="shared" si="9"/>
        <v>0</v>
      </c>
      <c r="G22" s="1183">
        <v>1080</v>
      </c>
      <c r="H22" s="740">
        <f t="shared" si="7"/>
        <v>1</v>
      </c>
    </row>
    <row r="23" spans="1:12" ht="15" thickBot="1" x14ac:dyDescent="0.35">
      <c r="A23" s="744" t="s">
        <v>325</v>
      </c>
      <c r="B23" s="1169">
        <f t="shared" si="5"/>
        <v>0.2818821222571819</v>
      </c>
      <c r="C23" s="1174">
        <f>SUM(C17:C22)</f>
        <v>9137.24</v>
      </c>
      <c r="D23" s="736">
        <v>1</v>
      </c>
      <c r="E23" s="750">
        <f>SUM(E17:E22)</f>
        <v>4236.3600000000006</v>
      </c>
      <c r="F23" s="757">
        <f>+E23*D23/C23</f>
        <v>0.46363672181096266</v>
      </c>
      <c r="G23" s="1180">
        <f>SUM(G17:G22)</f>
        <v>4900.88</v>
      </c>
      <c r="H23" s="736">
        <f t="shared" si="7"/>
        <v>0.5363632781890374</v>
      </c>
    </row>
    <row r="24" spans="1:12" ht="6" customHeight="1" thickBot="1" x14ac:dyDescent="0.35">
      <c r="A24" s="1158"/>
      <c r="B24" s="1159"/>
      <c r="C24" s="1159"/>
      <c r="D24" s="1166"/>
      <c r="E24" s="1159"/>
      <c r="F24" s="1159"/>
      <c r="G24" s="1159"/>
      <c r="H24" s="1160"/>
    </row>
    <row r="25" spans="1:12" ht="15" thickBot="1" x14ac:dyDescent="0.35">
      <c r="A25" s="747" t="s">
        <v>77</v>
      </c>
      <c r="B25" s="754">
        <v>1</v>
      </c>
      <c r="C25" s="1163">
        <f>+C23+C14+C11</f>
        <v>32415.11</v>
      </c>
      <c r="D25" s="741">
        <v>1</v>
      </c>
      <c r="E25" s="1002">
        <f>+E23+E14+E11</f>
        <v>15313.66</v>
      </c>
      <c r="F25" s="759">
        <f>+E25*D25/C25</f>
        <v>0.4724235086661745</v>
      </c>
      <c r="G25" s="1003">
        <f>+G23+G14+G11</f>
        <v>17101.45</v>
      </c>
      <c r="H25" s="741">
        <f>+G25*D25/C25</f>
        <v>0.52757649133382556</v>
      </c>
      <c r="J25" s="19"/>
    </row>
    <row r="26" spans="1:12" ht="16.8" thickTop="1" thickBot="1" x14ac:dyDescent="0.35">
      <c r="A26" s="60"/>
      <c r="B26" s="63"/>
      <c r="C26" s="61"/>
      <c r="D26" s="62"/>
      <c r="E26" s="61"/>
      <c r="F26" s="62"/>
      <c r="G26" s="61"/>
      <c r="H26" s="60"/>
      <c r="I26" s="20"/>
    </row>
    <row r="27" spans="1:12" ht="18" thickTop="1" x14ac:dyDescent="0.3">
      <c r="A27" s="1332" t="s">
        <v>442</v>
      </c>
      <c r="B27" s="1333"/>
      <c r="C27" s="1333"/>
      <c r="D27" s="1333"/>
      <c r="E27" s="1333"/>
      <c r="F27" s="1333"/>
      <c r="G27" s="1333"/>
      <c r="H27" s="1334"/>
      <c r="J27" s="846"/>
      <c r="K27" s="847"/>
      <c r="L27" s="845"/>
    </row>
    <row r="28" spans="1:12" ht="15.6" x14ac:dyDescent="0.3">
      <c r="A28" s="1344" t="s">
        <v>4</v>
      </c>
      <c r="B28" s="1345"/>
      <c r="C28" s="1335" t="s">
        <v>33</v>
      </c>
      <c r="D28" s="1336"/>
      <c r="E28" s="1337" t="s">
        <v>337</v>
      </c>
      <c r="F28" s="1338"/>
      <c r="G28" s="1339" t="s">
        <v>338</v>
      </c>
      <c r="H28" s="1338"/>
      <c r="J28" s="846"/>
      <c r="K28" s="847"/>
      <c r="L28" s="845"/>
    </row>
    <row r="29" spans="1:12" x14ac:dyDescent="0.3">
      <c r="A29" s="1340" t="s">
        <v>443</v>
      </c>
      <c r="B29" s="1341"/>
      <c r="C29" s="848">
        <f>+C25</f>
        <v>32415.11</v>
      </c>
      <c r="D29" s="849">
        <v>1</v>
      </c>
      <c r="E29" s="848">
        <f>+E25</f>
        <v>15313.66</v>
      </c>
      <c r="F29" s="849">
        <f>+E29*D29/C29</f>
        <v>0.4724235086661745</v>
      </c>
      <c r="G29" s="850">
        <f>+G25</f>
        <v>17101.45</v>
      </c>
      <c r="H29" s="849">
        <f>+G29*D29/C29</f>
        <v>0.52757649133382556</v>
      </c>
    </row>
    <row r="30" spans="1:12" x14ac:dyDescent="0.3">
      <c r="A30" s="1342" t="s">
        <v>444</v>
      </c>
      <c r="B30" s="1343"/>
      <c r="C30" s="1132">
        <f>+SloPri!C13</f>
        <v>19374.050000000003</v>
      </c>
      <c r="D30" s="1133">
        <v>1</v>
      </c>
      <c r="E30" s="1132">
        <f>+SloPri!H13</f>
        <v>8655.44</v>
      </c>
      <c r="F30" s="1133">
        <f>+E30*D30/C30</f>
        <v>0.44675429246853388</v>
      </c>
      <c r="G30" s="1134">
        <f>+SloPri!K13</f>
        <v>10718.61</v>
      </c>
      <c r="H30" s="1133">
        <f>+G30*D30/C30</f>
        <v>0.55324570753146596</v>
      </c>
      <c r="I30" s="1"/>
      <c r="J30" s="21"/>
      <c r="K30" s="21"/>
    </row>
    <row r="31" spans="1:12" ht="15" thickBot="1" x14ac:dyDescent="0.35">
      <c r="A31" s="1346" t="s">
        <v>451</v>
      </c>
      <c r="B31" s="1347"/>
      <c r="C31" s="851">
        <f>+C23</f>
        <v>9137.24</v>
      </c>
      <c r="D31" s="852">
        <v>1</v>
      </c>
      <c r="E31" s="851">
        <f>+E23</f>
        <v>4236.3600000000006</v>
      </c>
      <c r="F31" s="852">
        <f>+E31*D31/C31</f>
        <v>0.46363672181096266</v>
      </c>
      <c r="G31" s="853">
        <f>+G23</f>
        <v>4900.88</v>
      </c>
      <c r="H31" s="852">
        <f>+G31*D31/C31</f>
        <v>0.5363632781890374</v>
      </c>
    </row>
    <row r="32" spans="1:12" s="47" customFormat="1" ht="15.6" thickTop="1" thickBot="1" x14ac:dyDescent="0.35">
      <c r="A32" s="844"/>
      <c r="B32" s="53"/>
      <c r="C32" s="1001"/>
      <c r="D32" s="21"/>
      <c r="E32" s="14"/>
      <c r="F32" s="21"/>
      <c r="G32" s="14"/>
    </row>
    <row r="33" spans="1:8" ht="17.399999999999999" x14ac:dyDescent="0.3">
      <c r="A33" s="1328" t="s">
        <v>347</v>
      </c>
      <c r="B33" s="1329"/>
      <c r="C33" s="1330"/>
      <c r="D33" s="1330"/>
      <c r="E33" s="1330"/>
      <c r="F33" s="1330"/>
      <c r="G33" s="1330"/>
      <c r="H33" s="1331"/>
    </row>
    <row r="34" spans="1:8" x14ac:dyDescent="0.3">
      <c r="A34" s="136" t="s">
        <v>4</v>
      </c>
      <c r="B34" s="151" t="s">
        <v>5</v>
      </c>
      <c r="C34" s="142" t="s">
        <v>33</v>
      </c>
      <c r="D34" s="146" t="s">
        <v>5</v>
      </c>
      <c r="E34" s="142" t="s">
        <v>337</v>
      </c>
      <c r="F34" s="139" t="s">
        <v>5</v>
      </c>
      <c r="G34" s="145" t="s">
        <v>338</v>
      </c>
      <c r="H34" s="133" t="s">
        <v>5</v>
      </c>
    </row>
    <row r="35" spans="1:8" x14ac:dyDescent="0.3">
      <c r="A35" s="137" t="s">
        <v>348</v>
      </c>
      <c r="B35" s="152">
        <f t="shared" ref="B35" si="10">+C35*B$25/C$25</f>
        <v>0.68811797954719256</v>
      </c>
      <c r="C35" s="143">
        <f>+E35+G35</f>
        <v>22305.42</v>
      </c>
      <c r="D35" s="147">
        <f>+C35/C35</f>
        <v>1</v>
      </c>
      <c r="E35" s="143">
        <f>+E11</f>
        <v>11077.3</v>
      </c>
      <c r="F35" s="140">
        <f>+E35/C35</f>
        <v>0.4966192073496038</v>
      </c>
      <c r="G35" s="149">
        <f>+G11</f>
        <v>11228.12</v>
      </c>
      <c r="H35" s="134">
        <f>+G35/C35</f>
        <v>0.50338079265039626</v>
      </c>
    </row>
    <row r="36" spans="1:8" x14ac:dyDescent="0.3">
      <c r="A36" s="137" t="s">
        <v>75</v>
      </c>
      <c r="B36" s="152">
        <f>+C36/C38</f>
        <v>2.9999898195625437E-2</v>
      </c>
      <c r="C36" s="143">
        <f>+E36+G36</f>
        <v>972.45</v>
      </c>
      <c r="D36" s="147">
        <v>1</v>
      </c>
      <c r="E36" s="143">
        <v>0</v>
      </c>
      <c r="F36" s="140">
        <f>+E36/C36</f>
        <v>0</v>
      </c>
      <c r="G36" s="149">
        <f>+G14</f>
        <v>972.45</v>
      </c>
      <c r="H36" s="134">
        <f>+G36/C36</f>
        <v>1</v>
      </c>
    </row>
    <row r="37" spans="1:8" x14ac:dyDescent="0.3">
      <c r="A37" s="137" t="s">
        <v>349</v>
      </c>
      <c r="B37" s="152">
        <f t="shared" ref="B37" si="11">+C37*B$25/C$25</f>
        <v>0.28188212225718196</v>
      </c>
      <c r="C37" s="143">
        <f>+G37+E37</f>
        <v>9137.2400000000016</v>
      </c>
      <c r="D37" s="147">
        <v>1</v>
      </c>
      <c r="E37" s="143">
        <f>+E23</f>
        <v>4236.3600000000006</v>
      </c>
      <c r="F37" s="140">
        <f>+E37/C37</f>
        <v>0.4636367218109626</v>
      </c>
      <c r="G37" s="149">
        <f>+G23</f>
        <v>4900.88</v>
      </c>
      <c r="H37" s="134">
        <f>+G37/C37</f>
        <v>0.53636327818903728</v>
      </c>
    </row>
    <row r="38" spans="1:8" ht="15" thickBot="1" x14ac:dyDescent="0.35">
      <c r="A38" s="138" t="s">
        <v>2</v>
      </c>
      <c r="B38" s="153">
        <v>1</v>
      </c>
      <c r="C38" s="144">
        <f>+C35+C36+C37</f>
        <v>32415.11</v>
      </c>
      <c r="D38" s="148">
        <v>1</v>
      </c>
      <c r="E38" s="144">
        <f>+E35+E36+E37</f>
        <v>15313.66</v>
      </c>
      <c r="F38" s="141">
        <f>+E38/C38</f>
        <v>0.4724235086661745</v>
      </c>
      <c r="G38" s="150">
        <f>+G35+G36+G37</f>
        <v>17101.45</v>
      </c>
      <c r="H38" s="135">
        <f>+G38*D38/C38</f>
        <v>0.52757649133382556</v>
      </c>
    </row>
    <row r="39" spans="1:8" x14ac:dyDescent="0.3">
      <c r="A39" s="129"/>
      <c r="B39" s="130"/>
      <c r="C39" s="131"/>
      <c r="D39" s="132"/>
      <c r="E39" s="131"/>
      <c r="F39" s="132"/>
      <c r="G39" s="131"/>
      <c r="H39" s="129"/>
    </row>
  </sheetData>
  <sheetProtection algorithmName="SHA-512" hashValue="f1afSnzjHFzLp+1jQZOjhgHNx40kmNUelxix16U85TvTYFBZHivUF/xtK2uU95ZG6Zyhg6WZ/Q4sQKRH+6ev+Q==" saltValue="yVYfXILNsp1cJzFrjLX2pQ==" spinCount="100000" sheet="1" objects="1" scenarios="1" selectLockedCells="1" selectUnlockedCells="1"/>
  <mergeCells count="10">
    <mergeCell ref="A1:G1"/>
    <mergeCell ref="A33:H33"/>
    <mergeCell ref="A27:H27"/>
    <mergeCell ref="C28:D28"/>
    <mergeCell ref="E28:F28"/>
    <mergeCell ref="G28:H28"/>
    <mergeCell ref="A29:B29"/>
    <mergeCell ref="A30:B30"/>
    <mergeCell ref="A28:B28"/>
    <mergeCell ref="A31:B31"/>
  </mergeCells>
  <phoneticPr fontId="3" type="noConversion"/>
  <pageMargins left="0.70866141732283472" right="0.70866141732283472" top="0.74803149606299213" bottom="0.74803149606299213" header="0.31496062992125984" footer="0.31496062992125984"/>
  <pageSetup scale="73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F14"/>
  <sheetViews>
    <sheetView zoomScaleNormal="100" workbookViewId="0">
      <selection activeCell="H9" sqref="H9"/>
    </sheetView>
  </sheetViews>
  <sheetFormatPr baseColWidth="10" defaultRowHeight="14.4" x14ac:dyDescent="0.3"/>
  <cols>
    <col min="1" max="1" width="30" bestFit="1" customWidth="1"/>
    <col min="2" max="2" width="5.5546875" style="47" bestFit="1" customWidth="1"/>
    <col min="3" max="3" width="9" bestFit="1" customWidth="1"/>
    <col min="4" max="4" width="9.6640625" bestFit="1" customWidth="1"/>
    <col min="5" max="5" width="9.6640625" style="47" customWidth="1"/>
    <col min="6" max="6" width="12.6640625" bestFit="1" customWidth="1"/>
  </cols>
  <sheetData>
    <row r="1" spans="1:6" s="47" customFormat="1" ht="17.399999999999999" x14ac:dyDescent="0.3">
      <c r="A1" s="1352" t="s">
        <v>277</v>
      </c>
      <c r="B1" s="1353"/>
      <c r="C1" s="1353"/>
      <c r="D1" s="1353"/>
      <c r="E1" s="1353"/>
      <c r="F1" s="1354"/>
    </row>
    <row r="2" spans="1:6" ht="27" thickBot="1" x14ac:dyDescent="0.35">
      <c r="A2" s="765" t="s">
        <v>17</v>
      </c>
      <c r="B2" s="762" t="s">
        <v>5</v>
      </c>
      <c r="C2" s="761" t="s">
        <v>275</v>
      </c>
      <c r="D2" s="762" t="s">
        <v>411</v>
      </c>
      <c r="E2" s="762" t="s">
        <v>276</v>
      </c>
      <c r="F2" s="763" t="s">
        <v>274</v>
      </c>
    </row>
    <row r="3" spans="1:6" x14ac:dyDescent="0.3">
      <c r="A3" s="767" t="s">
        <v>304</v>
      </c>
      <c r="B3" s="1369">
        <f>+C3/C12</f>
        <v>0.39470999995622313</v>
      </c>
      <c r="C3" s="1365">
        <f>+PartSloPyP!C19</f>
        <v>3606.56</v>
      </c>
      <c r="D3" s="1373">
        <f>+CalcViv!J12+CalcViv!J18+CalcViv!J31+CalcViv!J37</f>
        <v>864</v>
      </c>
      <c r="E3" s="1361">
        <v>2.9</v>
      </c>
      <c r="F3" s="1348">
        <f>+D3*E3</f>
        <v>2505.6</v>
      </c>
    </row>
    <row r="4" spans="1:6" ht="24" thickBot="1" x14ac:dyDescent="0.35">
      <c r="A4" s="454" t="s">
        <v>412</v>
      </c>
      <c r="B4" s="1370"/>
      <c r="C4" s="1366"/>
      <c r="D4" s="1374"/>
      <c r="E4" s="1362"/>
      <c r="F4" s="1349"/>
    </row>
    <row r="5" spans="1:6" x14ac:dyDescent="0.3">
      <c r="A5" s="768" t="s">
        <v>315</v>
      </c>
      <c r="B5" s="1371">
        <f>+C5/C12</f>
        <v>9.4923631205922149E-2</v>
      </c>
      <c r="C5" s="1367">
        <f>+PartSloPyP!C20</f>
        <v>867.34</v>
      </c>
      <c r="D5" s="1350">
        <f>+CalcViv!J6+CalcViv!J25</f>
        <v>128</v>
      </c>
      <c r="E5" s="1363">
        <v>4</v>
      </c>
      <c r="F5" s="1355">
        <f>+D5*E5</f>
        <v>512</v>
      </c>
    </row>
    <row r="6" spans="1:6" ht="24" thickBot="1" x14ac:dyDescent="0.35">
      <c r="A6" s="769" t="s">
        <v>413</v>
      </c>
      <c r="B6" s="1372"/>
      <c r="C6" s="1368"/>
      <c r="D6" s="1351"/>
      <c r="E6" s="1364"/>
      <c r="F6" s="1356"/>
    </row>
    <row r="7" spans="1:6" ht="23.4" x14ac:dyDescent="0.3">
      <c r="A7" s="767" t="s">
        <v>414</v>
      </c>
      <c r="B7" s="1369">
        <f>+C7/C12</f>
        <v>0.24471284545442606</v>
      </c>
      <c r="C7" s="1365">
        <f>+PartSloPyP!C21</f>
        <v>2236</v>
      </c>
      <c r="D7" s="1357"/>
      <c r="E7" s="1357"/>
      <c r="F7" s="1359"/>
    </row>
    <row r="8" spans="1:6" ht="24" thickBot="1" x14ac:dyDescent="0.35">
      <c r="A8" s="454" t="s">
        <v>415</v>
      </c>
      <c r="B8" s="1370"/>
      <c r="C8" s="1366"/>
      <c r="D8" s="1358"/>
      <c r="E8" s="1358"/>
      <c r="F8" s="1360"/>
    </row>
    <row r="9" spans="1:6" s="47" customFormat="1" ht="15" thickBot="1" x14ac:dyDescent="0.35">
      <c r="A9" s="770" t="s">
        <v>314</v>
      </c>
      <c r="B9" s="781">
        <f>+C9/C12</f>
        <v>0.1181976176613507</v>
      </c>
      <c r="C9" s="766">
        <f>+PartSloPyP!C22</f>
        <v>1080</v>
      </c>
      <c r="D9" s="771"/>
      <c r="E9" s="771"/>
      <c r="F9" s="772"/>
    </row>
    <row r="10" spans="1:6" ht="15" thickBot="1" x14ac:dyDescent="0.35">
      <c r="A10" s="472" t="s">
        <v>416</v>
      </c>
      <c r="B10" s="782">
        <f>+C10/C12</f>
        <v>4.2901357521527288E-2</v>
      </c>
      <c r="C10" s="475">
        <f>+PartSloPyP!C17</f>
        <v>392</v>
      </c>
      <c r="D10" s="305"/>
      <c r="E10" s="305"/>
      <c r="F10" s="773"/>
    </row>
    <row r="11" spans="1:6" ht="15" thickBot="1" x14ac:dyDescent="0.35">
      <c r="A11" s="774" t="s">
        <v>417</v>
      </c>
      <c r="B11" s="783">
        <f>+C11/C12</f>
        <v>0.10455454820055071</v>
      </c>
      <c r="C11" s="775">
        <f>+PartSloPyP!C18</f>
        <v>955.33999999999992</v>
      </c>
      <c r="D11" s="776"/>
      <c r="E11" s="776"/>
      <c r="F11" s="777"/>
    </row>
    <row r="12" spans="1:6" ht="15" thickBot="1" x14ac:dyDescent="0.35">
      <c r="A12" s="731" t="s">
        <v>2</v>
      </c>
      <c r="B12" s="732">
        <f>+B3+B5+B7+B9+B10+B11</f>
        <v>1</v>
      </c>
      <c r="C12" s="733">
        <f>+C3+C5+C7+C9+C10+C11</f>
        <v>9137.24</v>
      </c>
      <c r="D12" s="778">
        <f>+D3+D5</f>
        <v>992</v>
      </c>
      <c r="E12" s="779">
        <f>+F12/D12</f>
        <v>3.0419354838709678</v>
      </c>
      <c r="F12" s="780">
        <f>+F3+F5</f>
        <v>3017.6</v>
      </c>
    </row>
    <row r="13" spans="1:6" x14ac:dyDescent="0.3">
      <c r="C13" s="21"/>
    </row>
    <row r="14" spans="1:6" x14ac:dyDescent="0.3">
      <c r="C14" s="21"/>
    </row>
  </sheetData>
  <sheetProtection algorithmName="SHA-512" hashValue="Obu7XwzSP/TzirzpqNWH+hV+dyqGg34Ut9hS6sPh3mcrCZTBKyKXa6tHv1FfNJjGc17y1TSuNb79+J3a1BNz/w==" saltValue="87IA+hUkwQbxrYf5R/mgKg==" spinCount="100000" sheet="1" objects="1" scenarios="1" selectLockedCells="1" selectUnlockedCells="1"/>
  <mergeCells count="16">
    <mergeCell ref="F3:F4"/>
    <mergeCell ref="D5:D6"/>
    <mergeCell ref="A1:F1"/>
    <mergeCell ref="F5:F6"/>
    <mergeCell ref="D7:D8"/>
    <mergeCell ref="F7:F8"/>
    <mergeCell ref="E3:E4"/>
    <mergeCell ref="E5:E6"/>
    <mergeCell ref="E7:E8"/>
    <mergeCell ref="C3:C4"/>
    <mergeCell ref="C5:C6"/>
    <mergeCell ref="C7:C8"/>
    <mergeCell ref="B3:B4"/>
    <mergeCell ref="B5:B6"/>
    <mergeCell ref="B7:B8"/>
    <mergeCell ref="D3:D4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F34"/>
  <sheetViews>
    <sheetView zoomScaleNormal="100" workbookViewId="0">
      <selection activeCell="E21" sqref="E21"/>
    </sheetView>
  </sheetViews>
  <sheetFormatPr baseColWidth="10" defaultColWidth="9.109375" defaultRowHeight="13.8" x14ac:dyDescent="0.25"/>
  <cols>
    <col min="1" max="1" width="6.44140625" style="6" customWidth="1"/>
    <col min="2" max="2" width="43.6640625" style="6" customWidth="1"/>
    <col min="3" max="3" width="12" style="7" bestFit="1" customWidth="1"/>
    <col min="4" max="4" width="5.6640625" style="7" bestFit="1" customWidth="1"/>
    <col min="5" max="5" width="26.109375" style="6" bestFit="1" customWidth="1"/>
    <col min="6" max="6" width="24.33203125" style="6" bestFit="1" customWidth="1"/>
    <col min="7" max="7" width="5" style="6" bestFit="1" customWidth="1"/>
    <col min="8" max="8" width="22" style="6" bestFit="1" customWidth="1"/>
    <col min="9" max="9" width="17.6640625" style="6" bestFit="1" customWidth="1"/>
    <col min="10" max="16384" width="9.109375" style="6"/>
  </cols>
  <sheetData>
    <row r="1" spans="1:5" ht="16.2" thickTop="1" x14ac:dyDescent="0.25">
      <c r="A1" s="1388" t="s">
        <v>262</v>
      </c>
      <c r="B1" s="1389"/>
      <c r="C1" s="1390"/>
      <c r="D1" s="1079"/>
    </row>
    <row r="2" spans="1:5" x14ac:dyDescent="0.25">
      <c r="A2" s="1391" t="s">
        <v>20</v>
      </c>
      <c r="B2" s="1392"/>
      <c r="C2" s="1076">
        <f>+SloPri!C13+SloPri!C17+SloPub!B2</f>
        <v>33214.22</v>
      </c>
      <c r="D2" s="1079"/>
    </row>
    <row r="3" spans="1:5" ht="14.4" thickBot="1" x14ac:dyDescent="0.3">
      <c r="A3" s="1393" t="s">
        <v>489</v>
      </c>
      <c r="B3" s="1394"/>
      <c r="C3" s="1077">
        <f>+SloPri!C17</f>
        <v>799.55</v>
      </c>
      <c r="D3" s="1080"/>
    </row>
    <row r="4" spans="1:5" x14ac:dyDescent="0.25">
      <c r="A4" s="1395" t="s">
        <v>21</v>
      </c>
      <c r="B4" s="1396"/>
      <c r="C4" s="559">
        <f>C2-C3</f>
        <v>32414.670000000002</v>
      </c>
      <c r="D4" s="1078">
        <f>+C4/C4</f>
        <v>1</v>
      </c>
    </row>
    <row r="5" spans="1:5" ht="26.4" x14ac:dyDescent="0.25">
      <c r="A5" s="1067">
        <v>1</v>
      </c>
      <c r="B5" s="556" t="s">
        <v>263</v>
      </c>
      <c r="C5" s="560">
        <f>+C6+C7+C8</f>
        <v>22305.42</v>
      </c>
      <c r="D5" s="1068">
        <f>+C5/C4</f>
        <v>0.68812732013005218</v>
      </c>
    </row>
    <row r="6" spans="1:5" x14ac:dyDescent="0.25">
      <c r="A6" s="1069">
        <f>+C6/C5</f>
        <v>0.24665529723269056</v>
      </c>
      <c r="B6" s="558" t="s">
        <v>146</v>
      </c>
      <c r="C6" s="215">
        <f>+PartSloPyP!C4+PartSloPyP!C5+PartSloPyP!C6+PartSloPyP!C7+PartSloPyP!C8</f>
        <v>5501.75</v>
      </c>
      <c r="D6" s="1070">
        <f>+C6/C4</f>
        <v>0.16973024868061282</v>
      </c>
    </row>
    <row r="7" spans="1:5" x14ac:dyDescent="0.25">
      <c r="A7" s="1069">
        <f>+C7/C5</f>
        <v>0.29320855648537447</v>
      </c>
      <c r="B7" s="558" t="s">
        <v>147</v>
      </c>
      <c r="C7" s="215">
        <f>+PartSloPyP!C9</f>
        <v>6540.14</v>
      </c>
      <c r="D7" s="1070">
        <f>+C7/C4</f>
        <v>0.20176481821348174</v>
      </c>
    </row>
    <row r="8" spans="1:5" x14ac:dyDescent="0.25">
      <c r="A8" s="1069">
        <f>+C8/C5</f>
        <v>0.46013614628193511</v>
      </c>
      <c r="B8" s="558" t="s">
        <v>148</v>
      </c>
      <c r="C8" s="215">
        <f>+PartSloPyP!C10</f>
        <v>10263.530000000001</v>
      </c>
      <c r="D8" s="1070">
        <f>+C8/C4</f>
        <v>0.31663225323595767</v>
      </c>
    </row>
    <row r="9" spans="1:5" x14ac:dyDescent="0.25">
      <c r="A9" s="1407" t="s">
        <v>427</v>
      </c>
      <c r="B9" s="1408"/>
      <c r="C9" s="560">
        <f>+PartSloPyP!C14</f>
        <v>972.45</v>
      </c>
      <c r="D9" s="1071">
        <f>+C9/C4</f>
        <v>3.0000305417269401E-2</v>
      </c>
    </row>
    <row r="10" spans="1:5" ht="6" customHeight="1" x14ac:dyDescent="0.25">
      <c r="A10" s="1409"/>
      <c r="B10" s="1410"/>
      <c r="C10" s="1410"/>
      <c r="D10" s="1411"/>
    </row>
    <row r="11" spans="1:5" x14ac:dyDescent="0.25">
      <c r="A11" s="1401" t="s">
        <v>428</v>
      </c>
      <c r="B11" s="1402"/>
      <c r="C11" s="561">
        <f>+C5+C9</f>
        <v>23277.87</v>
      </c>
      <c r="D11" s="1072">
        <f>+C11/C4</f>
        <v>0.71812762554732157</v>
      </c>
    </row>
    <row r="12" spans="1:5" x14ac:dyDescent="0.25">
      <c r="A12" s="1401" t="s">
        <v>429</v>
      </c>
      <c r="B12" s="1402"/>
      <c r="C12" s="561">
        <f>+C4-C11</f>
        <v>9136.8000000000029</v>
      </c>
      <c r="D12" s="1072">
        <f>+C12/C4</f>
        <v>0.28187237445267843</v>
      </c>
      <c r="E12" s="5"/>
    </row>
    <row r="13" spans="1:5" ht="6" customHeight="1" x14ac:dyDescent="0.25">
      <c r="A13" s="1412"/>
      <c r="B13" s="1413"/>
      <c r="C13" s="1413"/>
      <c r="D13" s="1414"/>
      <c r="E13" s="5"/>
    </row>
    <row r="14" spans="1:5" x14ac:dyDescent="0.25">
      <c r="A14" s="1377" t="s">
        <v>432</v>
      </c>
      <c r="B14" s="1378"/>
      <c r="C14" s="562">
        <f>+C4*0.65</f>
        <v>21069.535500000002</v>
      </c>
      <c r="D14" s="1073">
        <f>+C14/C4</f>
        <v>0.65</v>
      </c>
      <c r="E14" s="5"/>
    </row>
    <row r="15" spans="1:5" ht="14.4" thickBot="1" x14ac:dyDescent="0.3">
      <c r="A15" s="1399" t="s">
        <v>433</v>
      </c>
      <c r="B15" s="1400"/>
      <c r="C15" s="1074">
        <f>+C4-(C4*0.68)</f>
        <v>10372.6944</v>
      </c>
      <c r="D15" s="1075">
        <f>+C15/C4</f>
        <v>0.32</v>
      </c>
    </row>
    <row r="16" spans="1:5" ht="15" thickTop="1" thickBot="1" x14ac:dyDescent="0.3">
      <c r="A16" s="1403"/>
      <c r="B16" s="1403"/>
      <c r="C16" s="65"/>
    </row>
    <row r="17" spans="1:6" ht="18" thickTop="1" x14ac:dyDescent="0.25">
      <c r="A17" s="1404" t="s">
        <v>6</v>
      </c>
      <c r="B17" s="1405"/>
      <c r="C17" s="1406"/>
    </row>
    <row r="18" spans="1:6" ht="15.6" x14ac:dyDescent="0.25">
      <c r="A18" s="1397" t="s">
        <v>445</v>
      </c>
      <c r="B18" s="1398"/>
      <c r="C18" s="997">
        <f>+C15</f>
        <v>10372.6944</v>
      </c>
      <c r="D18" s="24"/>
    </row>
    <row r="19" spans="1:6" ht="15" x14ac:dyDescent="0.25">
      <c r="A19" s="1375" t="s">
        <v>486</v>
      </c>
      <c r="B19" s="1376"/>
      <c r="C19" s="998">
        <f>+C20/C15</f>
        <v>7.6391916067632337</v>
      </c>
    </row>
    <row r="20" spans="1:6" ht="15" x14ac:dyDescent="0.25">
      <c r="A20" s="1384" t="s">
        <v>403</v>
      </c>
      <c r="B20" s="1385"/>
      <c r="C20" s="999">
        <f>+'1Aprov'!C31</f>
        <v>79239</v>
      </c>
      <c r="D20" s="64"/>
      <c r="E20" s="5"/>
    </row>
    <row r="21" spans="1:6" ht="15.6" thickBot="1" x14ac:dyDescent="0.3">
      <c r="A21" s="1379" t="s">
        <v>402</v>
      </c>
      <c r="B21" s="1380"/>
      <c r="C21" s="1126">
        <f>+C20/C22</f>
        <v>8.6720935424701562</v>
      </c>
      <c r="D21" s="9"/>
      <c r="E21" s="1128"/>
    </row>
    <row r="22" spans="1:6" ht="15" x14ac:dyDescent="0.25">
      <c r="A22" s="1382" t="s">
        <v>488</v>
      </c>
      <c r="B22" s="1383"/>
      <c r="C22" s="1127">
        <f>+PartSloPyP!C23</f>
        <v>9137.24</v>
      </c>
      <c r="D22" s="12"/>
      <c r="E22" s="22"/>
      <c r="F22" s="5"/>
    </row>
    <row r="23" spans="1:6" ht="15.6" thickBot="1" x14ac:dyDescent="0.3">
      <c r="A23" s="1386" t="s">
        <v>487</v>
      </c>
      <c r="B23" s="1387"/>
      <c r="C23" s="1125">
        <f>+C22/PartSloPyP!C30</f>
        <v>0.47162260859242122</v>
      </c>
      <c r="D23" s="15"/>
      <c r="F23" s="5"/>
    </row>
    <row r="24" spans="1:6" ht="14.4" thickTop="1" x14ac:dyDescent="0.25">
      <c r="A24" s="1381"/>
      <c r="B24" s="1381"/>
    </row>
    <row r="25" spans="1:6" x14ac:dyDescent="0.25">
      <c r="E25" s="11"/>
    </row>
    <row r="31" spans="1:6" x14ac:dyDescent="0.25">
      <c r="A31" s="8"/>
      <c r="B31" s="8"/>
    </row>
    <row r="33" spans="4:4" x14ac:dyDescent="0.25">
      <c r="D33" s="22"/>
    </row>
    <row r="34" spans="4:4" x14ac:dyDescent="0.25">
      <c r="D34" s="22"/>
    </row>
  </sheetData>
  <sheetProtection algorithmName="SHA-512" hashValue="7sl4vGvsTV79foQKBi9AgjrTbAXnSTzCBJL9GIn0O9acejLAITWfoQgA0HU+pFET9R0z6CTU59lM/pZFrAgsBA==" saltValue="YFXn+FMz0Ep3DunD0lxSgQ==" spinCount="100000" sheet="1" objects="1" scenarios="1" selectLockedCells="1" selectUnlockedCells="1"/>
  <mergeCells count="20">
    <mergeCell ref="A1:C1"/>
    <mergeCell ref="A2:B2"/>
    <mergeCell ref="A3:B3"/>
    <mergeCell ref="A4:B4"/>
    <mergeCell ref="A18:B18"/>
    <mergeCell ref="A15:B15"/>
    <mergeCell ref="A11:B11"/>
    <mergeCell ref="A12:B12"/>
    <mergeCell ref="A16:B16"/>
    <mergeCell ref="A17:C17"/>
    <mergeCell ref="A9:B9"/>
    <mergeCell ref="A10:D10"/>
    <mergeCell ref="A13:D13"/>
    <mergeCell ref="A19:B19"/>
    <mergeCell ref="A14:B14"/>
    <mergeCell ref="A21:B21"/>
    <mergeCell ref="A24:B24"/>
    <mergeCell ref="A22:B22"/>
    <mergeCell ref="A20:B20"/>
    <mergeCell ref="A23:B23"/>
  </mergeCells>
  <phoneticPr fontId="3" type="noConversion"/>
  <pageMargins left="0.70866141732283472" right="0.70866141732283472" top="0.74803149606299213" bottom="0.74803149606299213" header="0.31496062992125984" footer="0.31496062992125984"/>
  <pageSetup orientation="landscape" horizontalDpi="4294967292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40"/>
  <sheetViews>
    <sheetView zoomScaleNormal="100" workbookViewId="0">
      <selection activeCell="L28" sqref="L28"/>
    </sheetView>
  </sheetViews>
  <sheetFormatPr baseColWidth="10" defaultColWidth="11.44140625" defaultRowHeight="14.4" x14ac:dyDescent="0.3"/>
  <cols>
    <col min="1" max="1" width="6.44140625" style="16" bestFit="1" customWidth="1"/>
    <col min="2" max="2" width="33.5546875" style="16" bestFit="1" customWidth="1"/>
    <col min="3" max="4" width="11.44140625" style="16" bestFit="1" customWidth="1"/>
    <col min="5" max="5" width="13.88671875" style="16" bestFit="1" customWidth="1"/>
    <col min="6" max="6" width="11" style="16" bestFit="1" customWidth="1"/>
    <col min="7" max="16384" width="11.44140625" style="16"/>
  </cols>
  <sheetData>
    <row r="1" spans="1:7" ht="17.399999999999999" x14ac:dyDescent="0.3">
      <c r="A1" s="1227" t="s">
        <v>418</v>
      </c>
      <c r="B1" s="1228"/>
      <c r="C1" s="1228"/>
      <c r="D1" s="1228"/>
      <c r="E1" s="1228"/>
      <c r="F1" s="1229"/>
    </row>
    <row r="2" spans="1:7" ht="27" thickBot="1" x14ac:dyDescent="0.35">
      <c r="A2" s="1415" t="s">
        <v>17</v>
      </c>
      <c r="B2" s="1416"/>
      <c r="C2" s="163" t="s">
        <v>18</v>
      </c>
      <c r="D2" s="163" t="s">
        <v>149</v>
      </c>
      <c r="E2" s="163" t="s">
        <v>97</v>
      </c>
      <c r="F2" s="186" t="s">
        <v>150</v>
      </c>
    </row>
    <row r="3" spans="1:7" x14ac:dyDescent="0.3">
      <c r="A3" s="264">
        <f>+C3/C$9</f>
        <v>0.51223946668071985</v>
      </c>
      <c r="B3" s="203" t="s">
        <v>304</v>
      </c>
      <c r="C3" s="204">
        <f>+CalcViv!B43</f>
        <v>19440</v>
      </c>
      <c r="D3" s="204">
        <f>+CalcViv!C43-CalcViv!B43</f>
        <v>4158</v>
      </c>
      <c r="E3" s="204">
        <f t="shared" ref="E3:E8" si="0">+C3+D3</f>
        <v>23598</v>
      </c>
      <c r="F3" s="267">
        <f>+C3/45</f>
        <v>432</v>
      </c>
    </row>
    <row r="4" spans="1:7" ht="15" thickBot="1" x14ac:dyDescent="0.35">
      <c r="A4" s="265">
        <f>+C4/C$9</f>
        <v>0.10792864483149324</v>
      </c>
      <c r="B4" s="205" t="s">
        <v>315</v>
      </c>
      <c r="C4" s="206">
        <f>+CalcViv!B42</f>
        <v>4096</v>
      </c>
      <c r="D4" s="206">
        <f>+CalcViv!C42-CalcViv!B42</f>
        <v>1039.3599999999997</v>
      </c>
      <c r="E4" s="206">
        <f t="shared" si="0"/>
        <v>5135.3599999999997</v>
      </c>
      <c r="F4" s="268">
        <f>+C4/64</f>
        <v>64</v>
      </c>
      <c r="G4" s="76"/>
    </row>
    <row r="5" spans="1:7" ht="33.6" x14ac:dyDescent="0.3">
      <c r="A5" s="824">
        <f>+C5/C$9</f>
        <v>1.0329108587389002E-2</v>
      </c>
      <c r="B5" s="825" t="s">
        <v>355</v>
      </c>
      <c r="C5" s="826">
        <f>+CalcCyST1y2!D6</f>
        <v>392</v>
      </c>
      <c r="D5" s="826">
        <f>+CalcCyST1y2!C6-CalcCyST1y2!D6</f>
        <v>19</v>
      </c>
      <c r="E5" s="826">
        <f t="shared" si="0"/>
        <v>411</v>
      </c>
      <c r="F5" s="827">
        <f>+C5/64</f>
        <v>6.125</v>
      </c>
    </row>
    <row r="6" spans="1:7" ht="33.6" x14ac:dyDescent="0.3">
      <c r="A6" s="828">
        <f>+C6/C9</f>
        <v>4.3582514294748492E-2</v>
      </c>
      <c r="B6" s="829" t="s">
        <v>362</v>
      </c>
      <c r="C6" s="830">
        <f>+CalcCyST1y2!D19</f>
        <v>1654</v>
      </c>
      <c r="D6" s="830">
        <f>+CalcCyST1y2!C19-CalcCyST1y2!D19</f>
        <v>80.599999999999909</v>
      </c>
      <c r="E6" s="830">
        <f t="shared" si="0"/>
        <v>1734.6</v>
      </c>
      <c r="F6" s="831">
        <f>+C6/64</f>
        <v>25.84375</v>
      </c>
    </row>
    <row r="7" spans="1:7" ht="33.6" x14ac:dyDescent="0.3">
      <c r="A7" s="828">
        <f>+C7/C$9</f>
        <v>6.2686095228057237E-2</v>
      </c>
      <c r="B7" s="829" t="s">
        <v>356</v>
      </c>
      <c r="C7" s="830">
        <f>+CalcCyST3!B21</f>
        <v>2379</v>
      </c>
      <c r="D7" s="830">
        <f>+CalcCyST3!A21-CalcCyST3!B21</f>
        <v>285</v>
      </c>
      <c r="E7" s="830">
        <f t="shared" si="0"/>
        <v>2664</v>
      </c>
      <c r="F7" s="831">
        <f>+C7/475</f>
        <v>5.0084210526315793</v>
      </c>
    </row>
    <row r="8" spans="1:7" ht="24" thickBot="1" x14ac:dyDescent="0.35">
      <c r="A8" s="832">
        <f>+C8/C$9</f>
        <v>0.26323417037759217</v>
      </c>
      <c r="B8" s="833" t="s">
        <v>357</v>
      </c>
      <c r="C8" s="834">
        <f>+CalcCyST3!H28</f>
        <v>9990</v>
      </c>
      <c r="D8" s="834">
        <f>+CalcCyST3!G28-CalcCyST3!H28</f>
        <v>1998</v>
      </c>
      <c r="E8" s="834">
        <f t="shared" si="0"/>
        <v>11988</v>
      </c>
      <c r="F8" s="835">
        <f>+C8/200</f>
        <v>49.95</v>
      </c>
    </row>
    <row r="9" spans="1:7" ht="15" thickBot="1" x14ac:dyDescent="0.35">
      <c r="A9" s="207">
        <f>SUM(A3:A8)</f>
        <v>1</v>
      </c>
      <c r="B9" s="208" t="s">
        <v>2</v>
      </c>
      <c r="C9" s="209">
        <f>SUM(C3:C8)</f>
        <v>37951</v>
      </c>
      <c r="D9" s="209">
        <f>SUM(D3:D8)</f>
        <v>7579.9599999999991</v>
      </c>
      <c r="E9" s="209">
        <f>SUM(E3:E8)</f>
        <v>45530.96</v>
      </c>
      <c r="F9" s="210"/>
    </row>
    <row r="10" spans="1:7" ht="15" thickBot="1" x14ac:dyDescent="0.35">
      <c r="A10" s="1256"/>
      <c r="B10" s="1256"/>
      <c r="C10" s="1256"/>
      <c r="D10" s="1256"/>
      <c r="E10" s="1256"/>
      <c r="F10" s="1256"/>
    </row>
    <row r="11" spans="1:7" ht="17.399999999999999" x14ac:dyDescent="0.3">
      <c r="A11" s="1227" t="s">
        <v>419</v>
      </c>
      <c r="B11" s="1228"/>
      <c r="C11" s="1228"/>
      <c r="D11" s="1228"/>
      <c r="E11" s="1228"/>
      <c r="F11" s="1229"/>
    </row>
    <row r="12" spans="1:7" ht="27" thickBot="1" x14ac:dyDescent="0.35">
      <c r="A12" s="1415" t="s">
        <v>17</v>
      </c>
      <c r="B12" s="1416"/>
      <c r="C12" s="163" t="s">
        <v>18</v>
      </c>
      <c r="D12" s="163" t="s">
        <v>149</v>
      </c>
      <c r="E12" s="163" t="s">
        <v>97</v>
      </c>
      <c r="F12" s="186" t="s">
        <v>150</v>
      </c>
    </row>
    <row r="13" spans="1:7" x14ac:dyDescent="0.3">
      <c r="A13" s="264">
        <f t="shared" ref="A13:A19" si="1">+C13/C$20</f>
        <v>0.44506513427505207</v>
      </c>
      <c r="B13" s="257" t="s">
        <v>304</v>
      </c>
      <c r="C13" s="204">
        <f>+CalcViv!E43</f>
        <v>19440</v>
      </c>
      <c r="D13" s="204">
        <f>+CalcViv!F43-CalcViv!E43</f>
        <v>4158</v>
      </c>
      <c r="E13" s="204">
        <f t="shared" ref="E13:E19" si="2">+C13+D13</f>
        <v>23598</v>
      </c>
      <c r="F13" s="267">
        <f>+C13/45</f>
        <v>432</v>
      </c>
    </row>
    <row r="14" spans="1:7" ht="15" thickBot="1" x14ac:dyDescent="0.35">
      <c r="A14" s="265">
        <f t="shared" si="1"/>
        <v>9.3775040637377224E-2</v>
      </c>
      <c r="B14" s="258" t="s">
        <v>315</v>
      </c>
      <c r="C14" s="206">
        <f>+CalcViv!E42</f>
        <v>4096</v>
      </c>
      <c r="D14" s="206">
        <f>+CalcViv!F42-CalcViv!E42</f>
        <v>1039.3599999999997</v>
      </c>
      <c r="E14" s="206">
        <f t="shared" si="2"/>
        <v>5135.3599999999997</v>
      </c>
      <c r="F14" s="268">
        <f>+C14/64</f>
        <v>64</v>
      </c>
    </row>
    <row r="15" spans="1:7" ht="33.6" x14ac:dyDescent="0.3">
      <c r="A15" s="824">
        <f t="shared" si="1"/>
        <v>8.974564435998993E-3</v>
      </c>
      <c r="B15" s="825" t="s">
        <v>355</v>
      </c>
      <c r="C15" s="826">
        <f>+CalcCyST1y2!D9</f>
        <v>392</v>
      </c>
      <c r="D15" s="826">
        <f>+CalcCyST1y2!C9-CalcCyST1y2!D9</f>
        <v>19</v>
      </c>
      <c r="E15" s="826">
        <f t="shared" si="2"/>
        <v>411</v>
      </c>
      <c r="F15" s="827">
        <f>+C15/64</f>
        <v>6.125</v>
      </c>
    </row>
    <row r="16" spans="1:7" ht="33.6" x14ac:dyDescent="0.3">
      <c r="A16" s="828">
        <f t="shared" si="1"/>
        <v>3.7867167288628406E-2</v>
      </c>
      <c r="B16" s="829" t="s">
        <v>362</v>
      </c>
      <c r="C16" s="830">
        <f>+CalcCyST1y2!D24</f>
        <v>1654</v>
      </c>
      <c r="D16" s="830">
        <f>+CalcCyST1y2!C24-CalcCyST1y2!D24</f>
        <v>80.599999999999909</v>
      </c>
      <c r="E16" s="830">
        <f>+C16+D16</f>
        <v>1734.6</v>
      </c>
      <c r="F16" s="831">
        <f>+C16/475</f>
        <v>3.4821052631578948</v>
      </c>
    </row>
    <row r="17" spans="1:11" ht="33.6" x14ac:dyDescent="0.3">
      <c r="A17" s="828">
        <f t="shared" si="1"/>
        <v>3.0289154971496601E-2</v>
      </c>
      <c r="B17" s="829" t="s">
        <v>356</v>
      </c>
      <c r="C17" s="830">
        <f>+CalcCyST3!E21</f>
        <v>1323</v>
      </c>
      <c r="D17" s="830">
        <f>+CalcCyST3!D21-CalcCyST3!E21</f>
        <v>157</v>
      </c>
      <c r="E17" s="830">
        <f t="shared" si="2"/>
        <v>1480</v>
      </c>
      <c r="F17" s="831">
        <f>+C17/200</f>
        <v>6.6150000000000002</v>
      </c>
    </row>
    <row r="18" spans="1:11" ht="24" thickBot="1" x14ac:dyDescent="0.35">
      <c r="A18" s="832">
        <f t="shared" si="1"/>
        <v>9.260743148881613E-2</v>
      </c>
      <c r="B18" s="833" t="s">
        <v>357</v>
      </c>
      <c r="C18" s="834">
        <f>+CalcCyST3!H35</f>
        <v>4045</v>
      </c>
      <c r="D18" s="834">
        <f>+CalcCyST3!G35-CalcCyST3!H35</f>
        <v>807</v>
      </c>
      <c r="E18" s="834">
        <f t="shared" si="2"/>
        <v>4852</v>
      </c>
      <c r="F18" s="835"/>
    </row>
    <row r="19" spans="1:11" ht="26.4" x14ac:dyDescent="0.3">
      <c r="A19" s="266">
        <f t="shared" si="1"/>
        <v>0.29142150690263058</v>
      </c>
      <c r="B19" s="259" t="s">
        <v>330</v>
      </c>
      <c r="C19" s="202">
        <f>+CalcDOTpriv!H6</f>
        <v>12729</v>
      </c>
      <c r="D19" s="202">
        <f>+CalcDOTpriv!G6-CalcDOTpriv!H6</f>
        <v>2391</v>
      </c>
      <c r="E19" s="202">
        <f t="shared" si="2"/>
        <v>15120</v>
      </c>
      <c r="F19" s="269">
        <v>1</v>
      </c>
    </row>
    <row r="20" spans="1:11" ht="15" thickBot="1" x14ac:dyDescent="0.35">
      <c r="A20" s="197">
        <f>SUM(A13:A19)</f>
        <v>1</v>
      </c>
      <c r="B20" s="198" t="s">
        <v>2</v>
      </c>
      <c r="C20" s="199">
        <f>SUM(C13:C19)</f>
        <v>43679</v>
      </c>
      <c r="D20" s="199">
        <f>SUM(D13:D19)</f>
        <v>8651.9599999999991</v>
      </c>
      <c r="E20" s="199">
        <f>SUM(E13:E19)</f>
        <v>52330.96</v>
      </c>
      <c r="F20" s="200"/>
    </row>
    <row r="21" spans="1:11" ht="15" thickBot="1" x14ac:dyDescent="0.35">
      <c r="A21" s="1256"/>
      <c r="B21" s="1256"/>
      <c r="C21" s="1256"/>
      <c r="D21" s="1256"/>
      <c r="E21" s="1256"/>
      <c r="F21" s="1256"/>
    </row>
    <row r="22" spans="1:11" ht="18" thickTop="1" x14ac:dyDescent="0.3">
      <c r="A22" s="1417" t="s">
        <v>420</v>
      </c>
      <c r="B22" s="1418"/>
      <c r="C22" s="1418"/>
      <c r="D22" s="1418"/>
      <c r="E22" s="1418"/>
      <c r="F22" s="1419"/>
    </row>
    <row r="23" spans="1:11" ht="27" thickBot="1" x14ac:dyDescent="0.35">
      <c r="A23" s="1042" t="s">
        <v>5</v>
      </c>
      <c r="B23" s="1041" t="s">
        <v>17</v>
      </c>
      <c r="C23" s="841" t="s">
        <v>18</v>
      </c>
      <c r="D23" s="841" t="s">
        <v>149</v>
      </c>
      <c r="E23" s="1025" t="s">
        <v>97</v>
      </c>
      <c r="F23" s="1033" t="s">
        <v>150</v>
      </c>
      <c r="G23" s="77"/>
    </row>
    <row r="24" spans="1:11" x14ac:dyDescent="0.3">
      <c r="A24" s="1018">
        <f t="shared" ref="A24:A30" si="3">+C24/C$31</f>
        <v>0.490667474349752</v>
      </c>
      <c r="B24" s="1011" t="s">
        <v>304</v>
      </c>
      <c r="C24" s="261">
        <f t="shared" ref="C24:F26" si="4">+C3+C13</f>
        <v>38880</v>
      </c>
      <c r="D24" s="261">
        <f t="shared" si="4"/>
        <v>8316</v>
      </c>
      <c r="E24" s="1026">
        <f t="shared" si="4"/>
        <v>47196</v>
      </c>
      <c r="F24" s="1034">
        <f t="shared" si="4"/>
        <v>864</v>
      </c>
      <c r="H24" s="78"/>
      <c r="I24" s="78"/>
      <c r="J24" s="78"/>
    </row>
    <row r="25" spans="1:11" ht="15" thickBot="1" x14ac:dyDescent="0.35">
      <c r="A25" s="1019">
        <f t="shared" si="3"/>
        <v>0.10338343492472141</v>
      </c>
      <c r="B25" s="1012" t="s">
        <v>315</v>
      </c>
      <c r="C25" s="262">
        <f t="shared" si="4"/>
        <v>8192</v>
      </c>
      <c r="D25" s="262">
        <f t="shared" si="4"/>
        <v>2078.7199999999993</v>
      </c>
      <c r="E25" s="1027">
        <f t="shared" si="4"/>
        <v>10270.719999999999</v>
      </c>
      <c r="F25" s="1035">
        <f t="shared" si="4"/>
        <v>128</v>
      </c>
      <c r="H25" s="82"/>
      <c r="I25" s="82"/>
    </row>
    <row r="26" spans="1:11" ht="33.6" x14ac:dyDescent="0.3">
      <c r="A26" s="1020">
        <f t="shared" si="3"/>
        <v>9.8941177955299796E-3</v>
      </c>
      <c r="B26" s="1013" t="s">
        <v>355</v>
      </c>
      <c r="C26" s="994">
        <f t="shared" si="4"/>
        <v>784</v>
      </c>
      <c r="D26" s="994">
        <f t="shared" si="4"/>
        <v>38</v>
      </c>
      <c r="E26" s="1028">
        <f t="shared" si="4"/>
        <v>822</v>
      </c>
      <c r="F26" s="1036">
        <f t="shared" si="4"/>
        <v>12.25</v>
      </c>
      <c r="G26" s="78"/>
      <c r="H26" s="83"/>
      <c r="I26" s="86"/>
    </row>
    <row r="27" spans="1:11" ht="33.6" x14ac:dyDescent="0.3">
      <c r="A27" s="1020">
        <f t="shared" si="3"/>
        <v>4.174711947399639E-2</v>
      </c>
      <c r="B27" s="1014" t="s">
        <v>362</v>
      </c>
      <c r="C27" s="994">
        <f>+C16+C6</f>
        <v>3308</v>
      </c>
      <c r="D27" s="994">
        <f>+D16+D6</f>
        <v>161.19999999999982</v>
      </c>
      <c r="E27" s="1028">
        <f>+E16+E6</f>
        <v>3469.2</v>
      </c>
      <c r="F27" s="1036">
        <f>+E27/65</f>
        <v>53.372307692307686</v>
      </c>
      <c r="G27" s="78"/>
      <c r="H27" s="83"/>
      <c r="I27" s="86"/>
    </row>
    <row r="28" spans="1:11" ht="33.6" x14ac:dyDescent="0.3">
      <c r="A28" s="1021">
        <f t="shared" si="3"/>
        <v>5.0896654425219907E-2</v>
      </c>
      <c r="B28" s="1014" t="s">
        <v>356</v>
      </c>
      <c r="C28" s="995">
        <f t="shared" ref="C28:F29" si="5">+C7+C16</f>
        <v>4033</v>
      </c>
      <c r="D28" s="995">
        <f t="shared" si="5"/>
        <v>365.59999999999991</v>
      </c>
      <c r="E28" s="1029">
        <f t="shared" si="5"/>
        <v>4398.6000000000004</v>
      </c>
      <c r="F28" s="1037">
        <f t="shared" si="5"/>
        <v>8.4905263157894737</v>
      </c>
      <c r="G28" s="260"/>
      <c r="H28" s="84"/>
      <c r="I28" s="87"/>
      <c r="J28" s="77"/>
      <c r="K28" s="78"/>
    </row>
    <row r="29" spans="1:11" ht="24" thickBot="1" x14ac:dyDescent="0.35">
      <c r="A29" s="1022">
        <f t="shared" si="3"/>
        <v>0.14277060538371256</v>
      </c>
      <c r="B29" s="1015" t="s">
        <v>357</v>
      </c>
      <c r="C29" s="996">
        <f t="shared" si="5"/>
        <v>11313</v>
      </c>
      <c r="D29" s="996">
        <f t="shared" si="5"/>
        <v>2155</v>
      </c>
      <c r="E29" s="1030">
        <f t="shared" si="5"/>
        <v>13468</v>
      </c>
      <c r="F29" s="1038">
        <f t="shared" si="5"/>
        <v>56.565000000000005</v>
      </c>
      <c r="H29" s="85"/>
      <c r="I29" s="85"/>
    </row>
    <row r="30" spans="1:11" ht="27" thickBot="1" x14ac:dyDescent="0.35">
      <c r="A30" s="1023">
        <f t="shared" si="3"/>
        <v>0.16064059364706773</v>
      </c>
      <c r="B30" s="1016" t="s">
        <v>330</v>
      </c>
      <c r="C30" s="263">
        <f>+C19</f>
        <v>12729</v>
      </c>
      <c r="D30" s="263">
        <f>+D19</f>
        <v>2391</v>
      </c>
      <c r="E30" s="1031">
        <f>+E19</f>
        <v>15120</v>
      </c>
      <c r="F30" s="1039">
        <f>+F9+F19</f>
        <v>1</v>
      </c>
    </row>
    <row r="31" spans="1:11" ht="15" thickBot="1" x14ac:dyDescent="0.35">
      <c r="A31" s="1024">
        <f>SUM(A24:A30)</f>
        <v>1</v>
      </c>
      <c r="B31" s="1017" t="s">
        <v>2</v>
      </c>
      <c r="C31" s="1000">
        <f>SUM(C24:C30)</f>
        <v>79239</v>
      </c>
      <c r="D31" s="1000">
        <f>SUM(D24:D30)</f>
        <v>15505.519999999999</v>
      </c>
      <c r="E31" s="1032">
        <f>SUM(E24:E30)</f>
        <v>94744.52</v>
      </c>
      <c r="F31" s="1040"/>
    </row>
    <row r="32" spans="1:11" ht="15" thickTop="1" x14ac:dyDescent="0.3"/>
    <row r="33" spans="1:8" x14ac:dyDescent="0.3">
      <c r="A33" s="1091"/>
      <c r="B33" s="16" t="s">
        <v>482</v>
      </c>
      <c r="C33" s="78">
        <v>38880</v>
      </c>
    </row>
    <row r="34" spans="1:8" x14ac:dyDescent="0.3">
      <c r="A34" s="1091"/>
      <c r="B34" s="16" t="s">
        <v>483</v>
      </c>
      <c r="C34" s="78">
        <v>8192</v>
      </c>
    </row>
    <row r="35" spans="1:8" x14ac:dyDescent="0.3">
      <c r="A35" s="1091"/>
      <c r="B35" s="16" t="s">
        <v>478</v>
      </c>
      <c r="C35" s="78">
        <v>784</v>
      </c>
    </row>
    <row r="36" spans="1:8" x14ac:dyDescent="0.3">
      <c r="A36" s="1091"/>
      <c r="B36" s="16" t="s">
        <v>479</v>
      </c>
      <c r="C36" s="78">
        <v>3308</v>
      </c>
    </row>
    <row r="37" spans="1:8" x14ac:dyDescent="0.3">
      <c r="A37" s="1091"/>
      <c r="B37" s="16" t="s">
        <v>480</v>
      </c>
      <c r="C37" s="78">
        <v>4033</v>
      </c>
    </row>
    <row r="38" spans="1:8" x14ac:dyDescent="0.3">
      <c r="A38" s="1091"/>
      <c r="B38" s="16" t="s">
        <v>481</v>
      </c>
      <c r="C38" s="78">
        <v>11313</v>
      </c>
    </row>
    <row r="39" spans="1:8" x14ac:dyDescent="0.3">
      <c r="A39" s="1091"/>
      <c r="B39" s="16" t="s">
        <v>477</v>
      </c>
      <c r="C39" s="78">
        <v>12729</v>
      </c>
      <c r="H39" s="88"/>
    </row>
    <row r="40" spans="1:8" x14ac:dyDescent="0.3">
      <c r="A40" s="1090"/>
    </row>
  </sheetData>
  <sheetProtection algorithmName="SHA-512" hashValue="xdoLMgLl2kaFsJF84v0sdkl0/3izagOtsGloLnugEnOo5PNgidrrpxKFuJAOeY3DEMMjP93wf8/gY+cC0f/Xfg==" saltValue="LlMza7Ql0wYuag6y//uSJg==" spinCount="100000" sheet="1" objects="1" scenarios="1" selectLockedCells="1" selectUnlockedCells="1"/>
  <mergeCells count="7">
    <mergeCell ref="A1:F1"/>
    <mergeCell ref="A2:B2"/>
    <mergeCell ref="A11:F11"/>
    <mergeCell ref="A12:B12"/>
    <mergeCell ref="A22:F22"/>
    <mergeCell ref="A10:F10"/>
    <mergeCell ref="A21:F2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73"/>
  <sheetViews>
    <sheetView workbookViewId="0">
      <selection activeCell="D15" sqref="D15"/>
    </sheetView>
  </sheetViews>
  <sheetFormatPr baseColWidth="10" defaultRowHeight="14.4" x14ac:dyDescent="0.3"/>
  <cols>
    <col min="1" max="1" width="72.44140625" bestFit="1" customWidth="1"/>
    <col min="2" max="2" width="9.6640625" bestFit="1" customWidth="1"/>
    <col min="4" max="4" width="60.109375" bestFit="1" customWidth="1"/>
    <col min="5" max="5" width="9.88671875" bestFit="1" customWidth="1"/>
  </cols>
  <sheetData>
    <row r="1" spans="1:2" ht="17.399999999999999" x14ac:dyDescent="0.3">
      <c r="A1" s="1203" t="s">
        <v>247</v>
      </c>
      <c r="B1" s="1205"/>
    </row>
    <row r="2" spans="1:2" x14ac:dyDescent="0.3">
      <c r="A2" s="813" t="s">
        <v>168</v>
      </c>
      <c r="B2" s="814">
        <f>+PartSloPyP!E29</f>
        <v>15313.66</v>
      </c>
    </row>
    <row r="3" spans="1:2" x14ac:dyDescent="0.3">
      <c r="A3" s="813" t="s">
        <v>169</v>
      </c>
      <c r="B3" s="814">
        <f>+B2*0.32</f>
        <v>4900.3712000000005</v>
      </c>
    </row>
    <row r="4" spans="1:2" x14ac:dyDescent="0.3">
      <c r="A4" s="373" t="s">
        <v>151</v>
      </c>
      <c r="B4" s="492">
        <f>+'1Aprov'!C3+'1Aprov'!C4</f>
        <v>23536</v>
      </c>
    </row>
    <row r="5" spans="1:2" x14ac:dyDescent="0.3">
      <c r="A5" s="373" t="s">
        <v>430</v>
      </c>
      <c r="B5" s="492">
        <f>+'1Aprov'!C5</f>
        <v>392</v>
      </c>
    </row>
    <row r="6" spans="1:2" x14ac:dyDescent="0.3">
      <c r="A6" s="373" t="s">
        <v>431</v>
      </c>
      <c r="B6" s="492">
        <f>+'1Aprov'!C6</f>
        <v>1654</v>
      </c>
    </row>
    <row r="7" spans="1:2" s="47" customFormat="1" x14ac:dyDescent="0.3">
      <c r="A7" s="373" t="s">
        <v>301</v>
      </c>
      <c r="B7" s="492">
        <f>+'1Aprov'!C17</f>
        <v>1323</v>
      </c>
    </row>
    <row r="8" spans="1:2" x14ac:dyDescent="0.3">
      <c r="A8" s="373" t="s">
        <v>303</v>
      </c>
      <c r="B8" s="492">
        <f>+'1Aprov'!C8</f>
        <v>9990</v>
      </c>
    </row>
    <row r="9" spans="1:2" x14ac:dyDescent="0.3">
      <c r="A9" s="820" t="s">
        <v>152</v>
      </c>
      <c r="B9" s="359">
        <f>SUM(B4:B8)</f>
        <v>36895</v>
      </c>
    </row>
    <row r="10" spans="1:2" x14ac:dyDescent="0.3">
      <c r="A10" s="820" t="s">
        <v>153</v>
      </c>
      <c r="B10" s="821">
        <f>+'1Aprov'!D9</f>
        <v>7579.9599999999991</v>
      </c>
    </row>
    <row r="11" spans="1:2" x14ac:dyDescent="0.3">
      <c r="A11" s="820" t="s">
        <v>154</v>
      </c>
      <c r="B11" s="821">
        <f>+'1Aprov'!E9</f>
        <v>45530.96</v>
      </c>
    </row>
    <row r="12" spans="1:2" x14ac:dyDescent="0.3">
      <c r="A12" s="820" t="s">
        <v>173</v>
      </c>
      <c r="B12" s="822">
        <f>+CalcViv!J6+CalcViv!J12+CalcViv!J18</f>
        <v>496</v>
      </c>
    </row>
    <row r="13" spans="1:2" x14ac:dyDescent="0.3">
      <c r="A13" s="373" t="s">
        <v>176</v>
      </c>
      <c r="B13" s="811">
        <f>+B9/B3</f>
        <v>7.5290214749445914</v>
      </c>
    </row>
    <row r="14" spans="1:2" x14ac:dyDescent="0.3">
      <c r="A14" s="373" t="s">
        <v>268</v>
      </c>
      <c r="B14" s="492">
        <f>+PartSloPyP!E19+PartSloPyP!E20+PartSloPyP!E21+PartSloPyP!E22</f>
        <v>3568.95</v>
      </c>
    </row>
    <row r="15" spans="1:2" x14ac:dyDescent="0.3">
      <c r="A15" s="373" t="s">
        <v>170</v>
      </c>
      <c r="B15" s="815">
        <v>0</v>
      </c>
    </row>
    <row r="16" spans="1:2" x14ac:dyDescent="0.3">
      <c r="A16" s="373" t="s">
        <v>155</v>
      </c>
      <c r="B16" s="492">
        <f>+PartSloPyP!E11</f>
        <v>11077.3</v>
      </c>
    </row>
    <row r="17" spans="1:7" x14ac:dyDescent="0.3">
      <c r="A17" s="373" t="s">
        <v>177</v>
      </c>
      <c r="B17" s="816">
        <f>+B14/B3</f>
        <v>0.72830197026706867</v>
      </c>
    </row>
    <row r="18" spans="1:7" x14ac:dyDescent="0.3">
      <c r="A18" s="373" t="s">
        <v>156</v>
      </c>
      <c r="B18" s="383">
        <v>21</v>
      </c>
    </row>
    <row r="19" spans="1:7" x14ac:dyDescent="0.3">
      <c r="A19" s="373" t="s">
        <v>157</v>
      </c>
      <c r="B19" s="492">
        <f>+CalcParq!C4</f>
        <v>4405.51</v>
      </c>
    </row>
    <row r="20" spans="1:7" x14ac:dyDescent="0.3">
      <c r="A20" s="373" t="s">
        <v>158</v>
      </c>
      <c r="B20" s="383">
        <v>1</v>
      </c>
      <c r="G20" s="21"/>
    </row>
    <row r="21" spans="1:7" s="47" customFormat="1" ht="17.399999999999999" x14ac:dyDescent="0.3">
      <c r="A21" s="1420" t="s">
        <v>264</v>
      </c>
      <c r="B21" s="1421"/>
      <c r="G21" s="21"/>
    </row>
    <row r="22" spans="1:7" x14ac:dyDescent="0.3">
      <c r="A22" s="373" t="s">
        <v>159</v>
      </c>
      <c r="B22" s="492">
        <f>+CalcParq!C4</f>
        <v>4405.51</v>
      </c>
    </row>
    <row r="23" spans="1:7" x14ac:dyDescent="0.3">
      <c r="A23" s="373" t="s">
        <v>160</v>
      </c>
      <c r="B23" s="492">
        <f>+CalcParq!E4</f>
        <v>1762.2040000000002</v>
      </c>
    </row>
    <row r="24" spans="1:7" x14ac:dyDescent="0.3">
      <c r="A24" s="373" t="s">
        <v>161</v>
      </c>
      <c r="B24" s="492">
        <f>+CalcParq!G4</f>
        <v>2643.306</v>
      </c>
    </row>
    <row r="25" spans="1:7" x14ac:dyDescent="0.3">
      <c r="A25" s="373" t="s">
        <v>171</v>
      </c>
      <c r="B25" s="817">
        <f>+B12</f>
        <v>496</v>
      </c>
    </row>
    <row r="26" spans="1:7" x14ac:dyDescent="0.3">
      <c r="A26" s="373" t="s">
        <v>172</v>
      </c>
      <c r="B26" s="817">
        <f>151*2</f>
        <v>302</v>
      </c>
    </row>
    <row r="27" spans="1:7" x14ac:dyDescent="0.3">
      <c r="A27" s="373" t="s">
        <v>162</v>
      </c>
      <c r="B27" s="817">
        <f>+B25+B26</f>
        <v>798</v>
      </c>
    </row>
    <row r="28" spans="1:7" x14ac:dyDescent="0.3">
      <c r="A28" s="373" t="s">
        <v>164</v>
      </c>
      <c r="B28" s="818">
        <v>1.23</v>
      </c>
    </row>
    <row r="29" spans="1:7" x14ac:dyDescent="0.3">
      <c r="A29" s="373" t="s">
        <v>163</v>
      </c>
      <c r="B29" s="815">
        <f>+B27*B28</f>
        <v>981.54</v>
      </c>
    </row>
    <row r="30" spans="1:7" x14ac:dyDescent="0.3">
      <c r="A30" s="373" t="s">
        <v>165</v>
      </c>
      <c r="B30" s="492">
        <f>+B24-B29</f>
        <v>1661.7660000000001</v>
      </c>
    </row>
    <row r="31" spans="1:7" x14ac:dyDescent="0.3">
      <c r="A31" s="373" t="s">
        <v>166</v>
      </c>
      <c r="B31" s="817">
        <f>+B30/12.5</f>
        <v>132.94128000000001</v>
      </c>
    </row>
    <row r="32" spans="1:7" s="47" customFormat="1" ht="17.399999999999999" x14ac:dyDescent="0.3">
      <c r="A32" s="1420" t="s">
        <v>266</v>
      </c>
      <c r="B32" s="1421"/>
    </row>
    <row r="33" spans="1:3" x14ac:dyDescent="0.3">
      <c r="A33" s="373" t="s">
        <v>265</v>
      </c>
      <c r="B33" s="494">
        <f>+CalcViv!I11+CalcViv!I17</f>
        <v>1242</v>
      </c>
    </row>
    <row r="34" spans="1:3" x14ac:dyDescent="0.3">
      <c r="A34" s="373" t="s">
        <v>174</v>
      </c>
      <c r="B34" s="812">
        <f>+CalcViv!I5</f>
        <v>302.08</v>
      </c>
    </row>
    <row r="35" spans="1:3" ht="15" thickBot="1" x14ac:dyDescent="0.35">
      <c r="A35" s="819" t="s">
        <v>175</v>
      </c>
      <c r="B35" s="493">
        <f>+B33+B34</f>
        <v>1544.08</v>
      </c>
    </row>
    <row r="37" spans="1:3" ht="15" thickBot="1" x14ac:dyDescent="0.35"/>
    <row r="38" spans="1:3" ht="17.399999999999999" x14ac:dyDescent="0.3">
      <c r="A38" s="1203" t="s">
        <v>248</v>
      </c>
      <c r="B38" s="1205"/>
    </row>
    <row r="39" spans="1:3" x14ac:dyDescent="0.3">
      <c r="A39" s="813" t="s">
        <v>168</v>
      </c>
      <c r="B39" s="814">
        <f>+PartSloPyP!G29</f>
        <v>17101.45</v>
      </c>
      <c r="C39" s="21"/>
    </row>
    <row r="40" spans="1:3" x14ac:dyDescent="0.3">
      <c r="A40" s="813" t="s">
        <v>169</v>
      </c>
      <c r="B40" s="814">
        <f>+B39*0.32</f>
        <v>5472.4639999999999</v>
      </c>
    </row>
    <row r="41" spans="1:3" x14ac:dyDescent="0.3">
      <c r="A41" s="373" t="s">
        <v>151</v>
      </c>
      <c r="B41" s="492">
        <f>+'1Aprov'!C13+'1Aprov'!C14</f>
        <v>23536</v>
      </c>
    </row>
    <row r="42" spans="1:3" x14ac:dyDescent="0.3">
      <c r="A42" s="373" t="s">
        <v>430</v>
      </c>
      <c r="B42" s="492">
        <f>+'1Aprov'!C15</f>
        <v>392</v>
      </c>
    </row>
    <row r="43" spans="1:3" x14ac:dyDescent="0.3">
      <c r="A43" s="373" t="s">
        <v>431</v>
      </c>
      <c r="B43" s="492">
        <f>+'1Aprov'!C16</f>
        <v>1654</v>
      </c>
    </row>
    <row r="44" spans="1:3" s="47" customFormat="1" x14ac:dyDescent="0.3">
      <c r="A44" s="373" t="s">
        <v>301</v>
      </c>
      <c r="B44" s="492">
        <f>+'1Aprov'!C17</f>
        <v>1323</v>
      </c>
    </row>
    <row r="45" spans="1:3" x14ac:dyDescent="0.3">
      <c r="A45" s="373" t="s">
        <v>303</v>
      </c>
      <c r="B45" s="492">
        <f>+'1Aprov'!C18</f>
        <v>4045</v>
      </c>
    </row>
    <row r="46" spans="1:3" x14ac:dyDescent="0.3">
      <c r="A46" s="373" t="s">
        <v>302</v>
      </c>
      <c r="B46" s="492">
        <f>+'1Aprov'!C19</f>
        <v>12729</v>
      </c>
    </row>
    <row r="47" spans="1:3" x14ac:dyDescent="0.3">
      <c r="A47" s="823" t="s">
        <v>267</v>
      </c>
      <c r="B47" s="359">
        <f>SUM(B41:B46)</f>
        <v>43679</v>
      </c>
    </row>
    <row r="48" spans="1:3" x14ac:dyDescent="0.3">
      <c r="A48" s="820" t="s">
        <v>153</v>
      </c>
      <c r="B48" s="821">
        <f>+'1Aprov'!D20</f>
        <v>8651.9599999999991</v>
      </c>
    </row>
    <row r="49" spans="1:4" x14ac:dyDescent="0.3">
      <c r="A49" s="820" t="s">
        <v>154</v>
      </c>
      <c r="B49" s="821">
        <f>+B47+B48</f>
        <v>52330.96</v>
      </c>
    </row>
    <row r="50" spans="1:4" x14ac:dyDescent="0.3">
      <c r="A50" s="820" t="s">
        <v>173</v>
      </c>
      <c r="B50" s="822">
        <f>+CalcViv!J25+CalcViv!J31+CalcViv!J37</f>
        <v>496</v>
      </c>
    </row>
    <row r="51" spans="1:4" x14ac:dyDescent="0.3">
      <c r="A51" s="373" t="s">
        <v>176</v>
      </c>
      <c r="B51" s="811">
        <f>+B47/B40</f>
        <v>7.981596589762856</v>
      </c>
      <c r="D51" s="38"/>
    </row>
    <row r="52" spans="1:4" x14ac:dyDescent="0.3">
      <c r="A52" s="373" t="s">
        <v>268</v>
      </c>
      <c r="B52" s="492">
        <f>+PartSloPyP!G19+PartSloPyP!G20+PartSloPyP!G21+PartSloPyP!G22</f>
        <v>4220.95</v>
      </c>
    </row>
    <row r="53" spans="1:4" x14ac:dyDescent="0.3">
      <c r="A53" s="373" t="s">
        <v>170</v>
      </c>
      <c r="B53" s="815">
        <f>+PartSloPyP!G14</f>
        <v>972.45</v>
      </c>
    </row>
    <row r="54" spans="1:4" x14ac:dyDescent="0.3">
      <c r="A54" s="373" t="s">
        <v>155</v>
      </c>
      <c r="B54" s="492">
        <f>+PartSloPyP!G11</f>
        <v>11228.12</v>
      </c>
    </row>
    <row r="55" spans="1:4" x14ac:dyDescent="0.3">
      <c r="A55" s="373" t="s">
        <v>177</v>
      </c>
      <c r="B55" s="816">
        <f>+B52/B40</f>
        <v>0.77130703829207459</v>
      </c>
    </row>
    <row r="56" spans="1:4" x14ac:dyDescent="0.3">
      <c r="A56" s="373" t="s">
        <v>156</v>
      </c>
      <c r="B56" s="383">
        <v>21</v>
      </c>
    </row>
    <row r="57" spans="1:4" x14ac:dyDescent="0.3">
      <c r="A57" s="373" t="s">
        <v>157</v>
      </c>
      <c r="B57" s="563">
        <f>+CalcParq!C5</f>
        <v>4417.0200000000004</v>
      </c>
    </row>
    <row r="58" spans="1:4" x14ac:dyDescent="0.3">
      <c r="A58" s="373" t="s">
        <v>158</v>
      </c>
      <c r="B58" s="383">
        <v>1</v>
      </c>
    </row>
    <row r="59" spans="1:4" ht="17.399999999999999" x14ac:dyDescent="0.3">
      <c r="A59" s="1420" t="s">
        <v>264</v>
      </c>
      <c r="B59" s="1421"/>
    </row>
    <row r="60" spans="1:4" x14ac:dyDescent="0.3">
      <c r="A60" s="373" t="s">
        <v>159</v>
      </c>
      <c r="B60" s="563">
        <f>+CalcParq!C5</f>
        <v>4417.0200000000004</v>
      </c>
    </row>
    <row r="61" spans="1:4" x14ac:dyDescent="0.3">
      <c r="A61" s="373" t="s">
        <v>160</v>
      </c>
      <c r="B61" s="563">
        <f>+CalcParq!E5</f>
        <v>1766.8080000000002</v>
      </c>
    </row>
    <row r="62" spans="1:4" x14ac:dyDescent="0.3">
      <c r="A62" s="373" t="s">
        <v>161</v>
      </c>
      <c r="B62" s="563">
        <f>+CalcParq!G5</f>
        <v>2650.212</v>
      </c>
    </row>
    <row r="63" spans="1:4" x14ac:dyDescent="0.3">
      <c r="A63" s="373" t="s">
        <v>171</v>
      </c>
      <c r="B63" s="817">
        <f>+B50</f>
        <v>496</v>
      </c>
    </row>
    <row r="64" spans="1:4" x14ac:dyDescent="0.3">
      <c r="A64" s="373" t="s">
        <v>172</v>
      </c>
      <c r="B64" s="817">
        <f>151*2</f>
        <v>302</v>
      </c>
    </row>
    <row r="65" spans="1:2" x14ac:dyDescent="0.3">
      <c r="A65" s="373" t="s">
        <v>162</v>
      </c>
      <c r="B65" s="817">
        <f>+B63+B64</f>
        <v>798</v>
      </c>
    </row>
    <row r="66" spans="1:2" x14ac:dyDescent="0.3">
      <c r="A66" s="373" t="s">
        <v>164</v>
      </c>
      <c r="B66" s="818">
        <v>1.23</v>
      </c>
    </row>
    <row r="67" spans="1:2" x14ac:dyDescent="0.3">
      <c r="A67" s="373" t="s">
        <v>163</v>
      </c>
      <c r="B67" s="815">
        <f>+B65*B66</f>
        <v>981.54</v>
      </c>
    </row>
    <row r="68" spans="1:2" x14ac:dyDescent="0.3">
      <c r="A68" s="373" t="s">
        <v>165</v>
      </c>
      <c r="B68" s="563">
        <f>+B62-B67</f>
        <v>1668.672</v>
      </c>
    </row>
    <row r="69" spans="1:2" x14ac:dyDescent="0.3">
      <c r="A69" s="373" t="s">
        <v>166</v>
      </c>
      <c r="B69" s="817">
        <f>+B68/12.5</f>
        <v>133.49376000000001</v>
      </c>
    </row>
    <row r="70" spans="1:2" ht="17.399999999999999" x14ac:dyDescent="0.3">
      <c r="A70" s="1420" t="s">
        <v>266</v>
      </c>
      <c r="B70" s="1421"/>
    </row>
    <row r="71" spans="1:2" x14ac:dyDescent="0.3">
      <c r="A71" s="373" t="s">
        <v>167</v>
      </c>
      <c r="B71" s="494">
        <f>+CalcViv!I30+CalcViv!I36</f>
        <v>1242</v>
      </c>
    </row>
    <row r="72" spans="1:2" x14ac:dyDescent="0.3">
      <c r="A72" s="373" t="s">
        <v>174</v>
      </c>
      <c r="B72" s="812">
        <f>+CalcViv!I24</f>
        <v>302.08</v>
      </c>
    </row>
    <row r="73" spans="1:2" ht="15" thickBot="1" x14ac:dyDescent="0.35">
      <c r="A73" s="819" t="s">
        <v>175</v>
      </c>
      <c r="B73" s="493">
        <f>+B71+B72</f>
        <v>1544.08</v>
      </c>
    </row>
  </sheetData>
  <sheetProtection algorithmName="SHA-512" hashValue="ptUhyWxHi8A4szMqMods5EvYKFZ1CId0ARQpsQ07lduU7hXcV0c51D1fElVV6q0+GNE48n+1lOOMVVzScy3mgQ==" saltValue="t1X9RRcHd7pVJREVkMHebw==" spinCount="100000" sheet="1" objects="1" scenarios="1" selectLockedCells="1" selectUnlockedCells="1"/>
  <mergeCells count="6">
    <mergeCell ref="A70:B70"/>
    <mergeCell ref="A1:B1"/>
    <mergeCell ref="A38:B38"/>
    <mergeCell ref="A21:B21"/>
    <mergeCell ref="A32:B32"/>
    <mergeCell ref="A59:B59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26"/>
  <sheetViews>
    <sheetView zoomScaleNormal="100" workbookViewId="0">
      <selection activeCell="G4" sqref="G4"/>
    </sheetView>
  </sheetViews>
  <sheetFormatPr baseColWidth="10" defaultRowHeight="14.4" x14ac:dyDescent="0.3"/>
  <cols>
    <col min="1" max="1" width="34.88671875" customWidth="1"/>
    <col min="2" max="3" width="17.44140625" bestFit="1" customWidth="1"/>
    <col min="4" max="4" width="19.6640625" bestFit="1" customWidth="1"/>
    <col min="5" max="5" width="12.5546875" bestFit="1" customWidth="1"/>
    <col min="6" max="6" width="10.44140625" customWidth="1"/>
    <col min="7" max="7" width="15.109375" bestFit="1" customWidth="1"/>
    <col min="8" max="8" width="16.109375" bestFit="1" customWidth="1"/>
    <col min="9" max="9" width="15.109375" bestFit="1" customWidth="1"/>
    <col min="10" max="10" width="17.6640625" bestFit="1" customWidth="1"/>
  </cols>
  <sheetData>
    <row r="1" spans="1:10" ht="17.399999999999999" x14ac:dyDescent="0.3">
      <c r="A1" s="1227" t="s">
        <v>178</v>
      </c>
      <c r="B1" s="1228"/>
      <c r="C1" s="1228"/>
      <c r="D1" s="1228"/>
      <c r="E1" s="1228"/>
      <c r="F1" s="1229"/>
    </row>
    <row r="2" spans="1:10" ht="53.25" customHeight="1" thickBot="1" x14ac:dyDescent="0.35">
      <c r="A2" s="428" t="s">
        <v>17</v>
      </c>
      <c r="B2" s="1083" t="s">
        <v>179</v>
      </c>
      <c r="C2" s="1083" t="s">
        <v>180</v>
      </c>
      <c r="D2" s="1083" t="s">
        <v>181</v>
      </c>
      <c r="E2" s="1083" t="s">
        <v>182</v>
      </c>
      <c r="F2" s="186" t="s">
        <v>285</v>
      </c>
    </row>
    <row r="3" spans="1:10" x14ac:dyDescent="0.3">
      <c r="A3" s="468" t="s">
        <v>305</v>
      </c>
      <c r="B3" s="311">
        <v>175</v>
      </c>
      <c r="C3" s="414">
        <f t="shared" ref="C3" si="0">+B3*1000000</f>
        <v>175000000</v>
      </c>
      <c r="D3" s="469">
        <v>45</v>
      </c>
      <c r="E3" s="414">
        <f>+C3/D3</f>
        <v>3888888.888888889</v>
      </c>
      <c r="F3" s="470">
        <f>+CalcViv!J12+CalcViv!J18+CalcViv!J31+CalcViv!J37</f>
        <v>864</v>
      </c>
    </row>
    <row r="4" spans="1:10" ht="15" thickBot="1" x14ac:dyDescent="0.35">
      <c r="A4" s="406" t="s">
        <v>306</v>
      </c>
      <c r="B4" s="317">
        <f>+C4/1000000</f>
        <v>352</v>
      </c>
      <c r="C4" s="436">
        <f t="shared" ref="C4:C9" si="1">+D4*E4</f>
        <v>352000000</v>
      </c>
      <c r="D4" s="471">
        <v>64</v>
      </c>
      <c r="E4" s="436">
        <v>5500000</v>
      </c>
      <c r="F4" s="460">
        <f>+CalcViv!J6+CalcViv!J25</f>
        <v>128</v>
      </c>
      <c r="G4" s="40"/>
    </row>
    <row r="5" spans="1:10" ht="33.6" x14ac:dyDescent="0.3">
      <c r="A5" s="465" t="s">
        <v>355</v>
      </c>
      <c r="B5" s="296">
        <f>+C5/1000000</f>
        <v>544</v>
      </c>
      <c r="C5" s="417">
        <f t="shared" si="1"/>
        <v>544000000</v>
      </c>
      <c r="D5" s="466">
        <v>64</v>
      </c>
      <c r="E5" s="417">
        <v>8500000</v>
      </c>
      <c r="F5" s="467">
        <f>+CalcCyST1y2!E10</f>
        <v>12</v>
      </c>
      <c r="G5" s="40"/>
      <c r="H5" s="40"/>
      <c r="I5" s="40"/>
    </row>
    <row r="6" spans="1:10" s="47" customFormat="1" ht="33.6" x14ac:dyDescent="0.3">
      <c r="A6" s="453" t="s">
        <v>362</v>
      </c>
      <c r="B6" s="285">
        <v>544</v>
      </c>
      <c r="C6" s="415">
        <f t="shared" si="1"/>
        <v>544000000</v>
      </c>
      <c r="D6" s="456">
        <f>+D5</f>
        <v>64</v>
      </c>
      <c r="E6" s="415">
        <f>+E5</f>
        <v>8500000</v>
      </c>
      <c r="F6" s="457">
        <f>+CalcCyST1y2!E25</f>
        <v>52</v>
      </c>
      <c r="G6" s="40"/>
      <c r="H6" s="40"/>
      <c r="I6" s="40"/>
    </row>
    <row r="7" spans="1:10" ht="23.4" x14ac:dyDescent="0.3">
      <c r="A7" s="453" t="s">
        <v>356</v>
      </c>
      <c r="B7" s="458">
        <f>+C7/1000000</f>
        <v>5605</v>
      </c>
      <c r="C7" s="415">
        <f t="shared" si="1"/>
        <v>5605000000</v>
      </c>
      <c r="D7" s="456">
        <v>475</v>
      </c>
      <c r="E7" s="415">
        <v>11800000</v>
      </c>
      <c r="F7" s="459">
        <f>+'1Aprov'!C28/'3Vtas'!D7</f>
        <v>8.4905263157894737</v>
      </c>
      <c r="G7" s="40"/>
      <c r="H7" s="40"/>
      <c r="I7" s="40"/>
      <c r="J7" s="10"/>
    </row>
    <row r="8" spans="1:10" ht="24" thickBot="1" x14ac:dyDescent="0.35">
      <c r="A8" s="461" t="s">
        <v>357</v>
      </c>
      <c r="B8" s="462">
        <f>+C8/1000000</f>
        <v>1860</v>
      </c>
      <c r="C8" s="422">
        <f t="shared" si="1"/>
        <v>1860000000</v>
      </c>
      <c r="D8" s="463">
        <v>200</v>
      </c>
      <c r="E8" s="422">
        <v>9300000</v>
      </c>
      <c r="F8" s="464">
        <f>+'1Aprov'!C29/'3Vtas'!D8</f>
        <v>56.564999999999998</v>
      </c>
      <c r="G8" s="40"/>
      <c r="H8" s="40"/>
    </row>
    <row r="9" spans="1:10" ht="24" thickBot="1" x14ac:dyDescent="0.35">
      <c r="A9" s="472" t="s">
        <v>364</v>
      </c>
      <c r="B9" s="473">
        <f>+C9/1000000</f>
        <v>110742.3</v>
      </c>
      <c r="C9" s="474">
        <f t="shared" si="1"/>
        <v>110742300000</v>
      </c>
      <c r="D9" s="475">
        <f>+CalcDOTpriv!H6</f>
        <v>12729</v>
      </c>
      <c r="E9" s="474">
        <v>8700000</v>
      </c>
      <c r="F9" s="476">
        <v>1</v>
      </c>
      <c r="G9" s="40"/>
      <c r="H9" s="40"/>
    </row>
    <row r="10" spans="1:10" ht="15" thickBot="1" x14ac:dyDescent="0.35">
      <c r="A10" s="39"/>
      <c r="B10" s="39"/>
      <c r="C10" s="39"/>
      <c r="D10" s="39"/>
      <c r="E10" s="39"/>
      <c r="F10" s="39"/>
    </row>
    <row r="11" spans="1:10" ht="18" thickTop="1" x14ac:dyDescent="0.3">
      <c r="A11" s="1332" t="s">
        <v>183</v>
      </c>
      <c r="B11" s="1333"/>
      <c r="C11" s="1333"/>
      <c r="D11" s="1333"/>
      <c r="E11" s="1334"/>
      <c r="F11" s="39"/>
    </row>
    <row r="12" spans="1:10" x14ac:dyDescent="0.3">
      <c r="A12" s="1427" t="s">
        <v>2</v>
      </c>
      <c r="B12" s="868" t="s">
        <v>395</v>
      </c>
      <c r="C12" s="842" t="s">
        <v>396</v>
      </c>
      <c r="D12" s="861" t="s">
        <v>397</v>
      </c>
      <c r="E12" s="843" t="s">
        <v>5</v>
      </c>
      <c r="F12" s="39"/>
    </row>
    <row r="13" spans="1:10" x14ac:dyDescent="0.3">
      <c r="A13" s="1428"/>
      <c r="B13" s="860">
        <f>+B16+B19+B24</f>
        <v>236498200000</v>
      </c>
      <c r="C13" s="854">
        <f>+C16+C19+C24</f>
        <v>279491200000</v>
      </c>
      <c r="D13" s="862">
        <f>+B13+C13</f>
        <v>515989400000</v>
      </c>
      <c r="E13" s="1422">
        <f>+E16+E19+E24</f>
        <v>1</v>
      </c>
      <c r="F13" s="39"/>
    </row>
    <row r="14" spans="1:10" ht="16.2" thickBot="1" x14ac:dyDescent="0.35">
      <c r="A14" s="744" t="s">
        <v>446</v>
      </c>
      <c r="B14" s="874">
        <f>+B13/D13</f>
        <v>0.45833926045767609</v>
      </c>
      <c r="C14" s="875">
        <f>+C13/D13</f>
        <v>0.54166073954232397</v>
      </c>
      <c r="D14" s="876">
        <f>+D13/D13</f>
        <v>1</v>
      </c>
      <c r="E14" s="1423"/>
      <c r="F14" s="39"/>
    </row>
    <row r="15" spans="1:10" s="47" customFormat="1" ht="8.1" customHeight="1" thickBot="1" x14ac:dyDescent="0.35">
      <c r="A15" s="1424"/>
      <c r="B15" s="1425"/>
      <c r="C15" s="1425"/>
      <c r="D15" s="1425"/>
      <c r="E15" s="1426"/>
      <c r="F15" s="39"/>
    </row>
    <row r="16" spans="1:10" x14ac:dyDescent="0.3">
      <c r="A16" s="877" t="s">
        <v>390</v>
      </c>
      <c r="B16" s="869">
        <f>+B17+B18</f>
        <v>98128000000</v>
      </c>
      <c r="C16" s="855">
        <f>+C17+C18</f>
        <v>98128000000</v>
      </c>
      <c r="D16" s="863">
        <f>+D17+D18</f>
        <v>196256000000</v>
      </c>
      <c r="E16" s="878">
        <f>+D16/D13</f>
        <v>0.38034889864016586</v>
      </c>
      <c r="F16" s="39"/>
      <c r="G16" s="46"/>
    </row>
    <row r="17" spans="1:6" x14ac:dyDescent="0.3">
      <c r="A17" s="879" t="s">
        <v>305</v>
      </c>
      <c r="B17" s="870">
        <f>+E3*CalcViv!B43</f>
        <v>75600000000</v>
      </c>
      <c r="C17" s="856">
        <f>+E3*CalcViv!E43</f>
        <v>75600000000</v>
      </c>
      <c r="D17" s="864">
        <f t="shared" ref="D17:D22" si="2">+B17+C17</f>
        <v>151200000000</v>
      </c>
      <c r="E17" s="880">
        <f>+D17/D13</f>
        <v>0.2930292754075956</v>
      </c>
      <c r="F17" s="89"/>
    </row>
    <row r="18" spans="1:6" s="47" customFormat="1" ht="15" thickBot="1" x14ac:dyDescent="0.35">
      <c r="A18" s="881" t="s">
        <v>306</v>
      </c>
      <c r="B18" s="871">
        <f>+E4*CalcViv!B42</f>
        <v>22528000000</v>
      </c>
      <c r="C18" s="857">
        <f>+E4*CalcViv!E42</f>
        <v>22528000000</v>
      </c>
      <c r="D18" s="865">
        <f t="shared" si="2"/>
        <v>45056000000</v>
      </c>
      <c r="E18" s="882">
        <f>+D18/D13</f>
        <v>8.7319623232570281E-2</v>
      </c>
      <c r="F18" s="89"/>
    </row>
    <row r="19" spans="1:6" x14ac:dyDescent="0.3">
      <c r="A19" s="883" t="s">
        <v>391</v>
      </c>
      <c r="B19" s="872">
        <f>+B20+B21+B22+B23</f>
        <v>138370200000</v>
      </c>
      <c r="C19" s="858">
        <f>+C20+C21+C22+C23</f>
        <v>70620900000</v>
      </c>
      <c r="D19" s="866">
        <f>+D20+D21+D22+D23</f>
        <v>208991100000</v>
      </c>
      <c r="E19" s="884">
        <f>+D19/D13</f>
        <v>0.40502983200817694</v>
      </c>
      <c r="F19" s="39"/>
    </row>
    <row r="20" spans="1:6" ht="36.6" x14ac:dyDescent="0.3">
      <c r="A20" s="885" t="s">
        <v>381</v>
      </c>
      <c r="B20" s="870">
        <f>+E5*CalcCyST1y2!D6</f>
        <v>3332000000</v>
      </c>
      <c r="C20" s="856">
        <f>+E5*CalcCyST1y2!D9</f>
        <v>3332000000</v>
      </c>
      <c r="D20" s="864">
        <f>+B20+C20</f>
        <v>6664000000</v>
      </c>
      <c r="E20" s="880">
        <f>+D20/D13</f>
        <v>1.291499399018662E-2</v>
      </c>
      <c r="F20" s="39"/>
    </row>
    <row r="21" spans="1:6" ht="36.6" x14ac:dyDescent="0.3">
      <c r="A21" s="885" t="s">
        <v>393</v>
      </c>
      <c r="B21" s="870">
        <f>+E6*CalcCyST1y2!D19</f>
        <v>14059000000</v>
      </c>
      <c r="C21" s="856">
        <f>+E6*CalcCyST1y2!D24</f>
        <v>14059000000</v>
      </c>
      <c r="D21" s="864">
        <f>+B21+C21</f>
        <v>28118000000</v>
      </c>
      <c r="E21" s="880">
        <f>+D21/D13</f>
        <v>5.4493367499409869E-2</v>
      </c>
      <c r="F21" s="39"/>
    </row>
    <row r="22" spans="1:6" ht="36.6" x14ac:dyDescent="0.3">
      <c r="A22" s="885" t="s">
        <v>394</v>
      </c>
      <c r="B22" s="870">
        <f>+E7*CalcCyST3!H6</f>
        <v>28072200000</v>
      </c>
      <c r="C22" s="856">
        <f>+E7*CalcCyST3!H15</f>
        <v>15611400000</v>
      </c>
      <c r="D22" s="864">
        <f t="shared" si="2"/>
        <v>43683600000</v>
      </c>
      <c r="E22" s="880">
        <f>+D22/D13</f>
        <v>8.4659878671926203E-2</v>
      </c>
      <c r="F22" s="39"/>
    </row>
    <row r="23" spans="1:6" ht="27" thickBot="1" x14ac:dyDescent="0.35">
      <c r="A23" s="886" t="s">
        <v>384</v>
      </c>
      <c r="B23" s="873">
        <f>+E8*CalcCyST3!B41</f>
        <v>92907000000</v>
      </c>
      <c r="C23" s="859">
        <f>+E8*CalcCyST3!E41</f>
        <v>37618500000</v>
      </c>
      <c r="D23" s="867">
        <f>+B23+C23</f>
        <v>130525500000</v>
      </c>
      <c r="E23" s="887">
        <f>+D23/D13</f>
        <v>0.25296159184665423</v>
      </c>
      <c r="F23" s="39"/>
    </row>
    <row r="24" spans="1:6" x14ac:dyDescent="0.3">
      <c r="A24" s="877" t="s">
        <v>392</v>
      </c>
      <c r="B24" s="869">
        <f>+B25</f>
        <v>0</v>
      </c>
      <c r="C24" s="855">
        <f>+C25</f>
        <v>110742300000</v>
      </c>
      <c r="D24" s="863">
        <f>+B24+C24</f>
        <v>110742300000</v>
      </c>
      <c r="E24" s="878">
        <f>+D24/D13</f>
        <v>0.21462126935165723</v>
      </c>
      <c r="F24" s="39"/>
    </row>
    <row r="25" spans="1:6" ht="24" thickBot="1" x14ac:dyDescent="0.35">
      <c r="A25" s="888" t="s">
        <v>385</v>
      </c>
      <c r="B25" s="889">
        <v>0</v>
      </c>
      <c r="C25" s="890">
        <f>+E9*CalcDOTpriv!H6</f>
        <v>110742300000</v>
      </c>
      <c r="D25" s="891">
        <f>+B25+C25</f>
        <v>110742300000</v>
      </c>
      <c r="E25" s="892">
        <f>+D25/D13</f>
        <v>0.21462126935165723</v>
      </c>
    </row>
    <row r="26" spans="1:6" ht="15" thickTop="1" x14ac:dyDescent="0.3"/>
  </sheetData>
  <sheetProtection algorithmName="SHA-512" hashValue="W+DWGAbCzccHiCD1buz+hoSWCPdlE9aeVFOvN3k1arPxuzuCZV775UVjN0cPaISXHi++T2VN2vLCoc2JqCgBmg==" saltValue="fLHPmT5cyb2+S3GYgGjxuw==" spinCount="100000" sheet="1" objects="1" scenarios="1" selectLockedCells="1" selectUnlockedCells="1"/>
  <mergeCells count="5">
    <mergeCell ref="A11:E11"/>
    <mergeCell ref="A1:F1"/>
    <mergeCell ref="E13:E14"/>
    <mergeCell ref="A15:E15"/>
    <mergeCell ref="A12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I64"/>
  <sheetViews>
    <sheetView zoomScaleNormal="100" workbookViewId="0">
      <selection activeCell="F26" sqref="F26"/>
    </sheetView>
  </sheetViews>
  <sheetFormatPr baseColWidth="10" defaultColWidth="11.44140625" defaultRowHeight="14.4" x14ac:dyDescent="0.3"/>
  <cols>
    <col min="1" max="1" width="40.33203125" style="16" customWidth="1"/>
    <col min="2" max="2" width="22.5546875" style="16" bestFit="1" customWidth="1"/>
    <col min="3" max="3" width="17.5546875" style="16" bestFit="1" customWidth="1"/>
    <col min="4" max="4" width="17.44140625" style="16" bestFit="1" customWidth="1"/>
    <col min="5" max="5" width="5.5546875" style="16" bestFit="1" customWidth="1"/>
    <col min="6" max="6" width="32.5546875" style="16" bestFit="1" customWidth="1"/>
    <col min="7" max="7" width="18.88671875" style="16" bestFit="1" customWidth="1"/>
    <col min="8" max="8" width="19.44140625" style="16" bestFit="1" customWidth="1"/>
    <col min="9" max="9" width="18.88671875" style="16" bestFit="1" customWidth="1"/>
    <col min="10" max="16384" width="11.44140625" style="16"/>
  </cols>
  <sheetData>
    <row r="1" spans="1:4" ht="18" thickBot="1" x14ac:dyDescent="0.35">
      <c r="A1" s="1444" t="s">
        <v>287</v>
      </c>
      <c r="B1" s="1445"/>
      <c r="C1" s="1445"/>
      <c r="D1" s="1446"/>
    </row>
    <row r="2" spans="1:4" x14ac:dyDescent="0.3">
      <c r="A2" s="1447" t="s">
        <v>304</v>
      </c>
      <c r="B2" s="1448"/>
      <c r="C2" s="311" t="s">
        <v>367</v>
      </c>
      <c r="D2" s="410">
        <v>1750000</v>
      </c>
    </row>
    <row r="3" spans="1:4" ht="15" thickBot="1" x14ac:dyDescent="0.35">
      <c r="A3" s="1440" t="s">
        <v>374</v>
      </c>
      <c r="B3" s="1441"/>
      <c r="C3" s="317" t="s">
        <v>368</v>
      </c>
      <c r="D3" s="405">
        <v>1450000</v>
      </c>
    </row>
    <row r="4" spans="1:4" x14ac:dyDescent="0.3">
      <c r="A4" s="1447" t="s">
        <v>315</v>
      </c>
      <c r="B4" s="1448"/>
      <c r="C4" s="311" t="s">
        <v>367</v>
      </c>
      <c r="D4" s="410">
        <v>1800000</v>
      </c>
    </row>
    <row r="5" spans="1:4" ht="15" thickBot="1" x14ac:dyDescent="0.35">
      <c r="A5" s="1440" t="s">
        <v>375</v>
      </c>
      <c r="B5" s="1441"/>
      <c r="C5" s="317" t="s">
        <v>368</v>
      </c>
      <c r="D5" s="405">
        <v>1580000</v>
      </c>
    </row>
    <row r="6" spans="1:4" x14ac:dyDescent="0.3">
      <c r="A6" s="1447" t="s">
        <v>370</v>
      </c>
      <c r="B6" s="1448"/>
      <c r="C6" s="311" t="s">
        <v>367</v>
      </c>
      <c r="D6" s="410">
        <v>1950000</v>
      </c>
    </row>
    <row r="7" spans="1:4" ht="15" thickBot="1" x14ac:dyDescent="0.35">
      <c r="A7" s="1440" t="s">
        <v>371</v>
      </c>
      <c r="B7" s="1441"/>
      <c r="C7" s="317" t="s">
        <v>368</v>
      </c>
      <c r="D7" s="405">
        <v>1780000</v>
      </c>
    </row>
    <row r="8" spans="1:4" x14ac:dyDescent="0.3">
      <c r="A8" s="1447" t="s">
        <v>372</v>
      </c>
      <c r="B8" s="1448"/>
      <c r="C8" s="311" t="s">
        <v>367</v>
      </c>
      <c r="D8" s="410">
        <v>1950000</v>
      </c>
    </row>
    <row r="9" spans="1:4" ht="15" thickBot="1" x14ac:dyDescent="0.35">
      <c r="A9" s="1440" t="s">
        <v>371</v>
      </c>
      <c r="B9" s="1441"/>
      <c r="C9" s="317" t="s">
        <v>368</v>
      </c>
      <c r="D9" s="405">
        <v>1780000</v>
      </c>
    </row>
    <row r="10" spans="1:4" x14ac:dyDescent="0.3">
      <c r="A10" s="1447" t="s">
        <v>372</v>
      </c>
      <c r="B10" s="1448"/>
      <c r="C10" s="311" t="s">
        <v>367</v>
      </c>
      <c r="D10" s="410">
        <v>1950000</v>
      </c>
    </row>
    <row r="11" spans="1:4" ht="15" thickBot="1" x14ac:dyDescent="0.35">
      <c r="A11" s="1440" t="s">
        <v>373</v>
      </c>
      <c r="B11" s="1441"/>
      <c r="C11" s="317" t="s">
        <v>368</v>
      </c>
      <c r="D11" s="405">
        <v>1780000</v>
      </c>
    </row>
    <row r="12" spans="1:4" x14ac:dyDescent="0.3">
      <c r="A12" s="1447" t="s">
        <v>314</v>
      </c>
      <c r="B12" s="1448"/>
      <c r="C12" s="311" t="s">
        <v>367</v>
      </c>
      <c r="D12" s="410">
        <v>1950000</v>
      </c>
    </row>
    <row r="13" spans="1:4" ht="15" thickBot="1" x14ac:dyDescent="0.35">
      <c r="A13" s="1440" t="s">
        <v>376</v>
      </c>
      <c r="B13" s="1441"/>
      <c r="C13" s="317" t="s">
        <v>368</v>
      </c>
      <c r="D13" s="405">
        <v>1780000</v>
      </c>
    </row>
    <row r="14" spans="1:4" ht="15" thickBot="1" x14ac:dyDescent="0.35">
      <c r="A14" s="1440" t="s">
        <v>369</v>
      </c>
      <c r="B14" s="1441"/>
      <c r="C14" s="408" t="s">
        <v>368</v>
      </c>
      <c r="D14" s="409">
        <v>1320000</v>
      </c>
    </row>
    <row r="15" spans="1:4" ht="15" thickBot="1" x14ac:dyDescent="0.35"/>
    <row r="16" spans="1:4" ht="18" thickTop="1" x14ac:dyDescent="0.3">
      <c r="A16" s="1332" t="s">
        <v>404</v>
      </c>
      <c r="B16" s="1333"/>
      <c r="C16" s="1333"/>
      <c r="D16" s="1334"/>
    </row>
    <row r="17" spans="1:9" ht="26.4" x14ac:dyDescent="0.3">
      <c r="A17" s="412" t="s">
        <v>17</v>
      </c>
      <c r="B17" s="201" t="s">
        <v>184</v>
      </c>
      <c r="C17" s="201" t="s">
        <v>185</v>
      </c>
      <c r="D17" s="413" t="s">
        <v>33</v>
      </c>
    </row>
    <row r="18" spans="1:9" ht="15" thickBot="1" x14ac:dyDescent="0.35">
      <c r="A18" s="418" t="s">
        <v>33</v>
      </c>
      <c r="B18" s="419">
        <f>+B20+B23+B28</f>
        <v>69502050000</v>
      </c>
      <c r="C18" s="419">
        <f>+C20+C23+C28</f>
        <v>17727590000</v>
      </c>
      <c r="D18" s="420">
        <f>+B18+C18</f>
        <v>87229640000</v>
      </c>
    </row>
    <row r="19" spans="1:9" ht="15.6" thickTop="1" thickBot="1" x14ac:dyDescent="0.35">
      <c r="A19" s="1437"/>
      <c r="B19" s="1438"/>
      <c r="C19" s="1438"/>
      <c r="D19" s="1439"/>
    </row>
    <row r="20" spans="1:9" x14ac:dyDescent="0.3">
      <c r="A20" s="440" t="s">
        <v>377</v>
      </c>
      <c r="B20" s="432">
        <f>+B21+B22</f>
        <v>41392800000</v>
      </c>
      <c r="C20" s="432">
        <f>+C21+C22</f>
        <v>7671288800</v>
      </c>
      <c r="D20" s="444">
        <f>+B20+C20</f>
        <v>49064088800</v>
      </c>
    </row>
    <row r="21" spans="1:9" x14ac:dyDescent="0.3">
      <c r="A21" s="411" t="s">
        <v>305</v>
      </c>
      <c r="B21" s="415">
        <f>+D2*'1Aprov'!C3</f>
        <v>34020000000</v>
      </c>
      <c r="C21" s="415">
        <f>+D3*'1Aprov'!D3</f>
        <v>6029100000</v>
      </c>
      <c r="D21" s="416">
        <f t="shared" ref="D21:D25" si="0">+B21+C21</f>
        <v>40049100000</v>
      </c>
    </row>
    <row r="22" spans="1:9" ht="15" thickBot="1" x14ac:dyDescent="0.35">
      <c r="A22" s="421" t="s">
        <v>306</v>
      </c>
      <c r="B22" s="446">
        <f>+D4*'1Aprov'!C4</f>
        <v>7372800000</v>
      </c>
      <c r="C22" s="422">
        <f>+D5*'1Aprov'!D4</f>
        <v>1642188799.9999995</v>
      </c>
      <c r="D22" s="423">
        <f t="shared" si="0"/>
        <v>9014988800</v>
      </c>
    </row>
    <row r="23" spans="1:9" x14ac:dyDescent="0.3">
      <c r="A23" s="450" t="s">
        <v>378</v>
      </c>
      <c r="B23" s="432">
        <f>+B24+B25+B26+B27</f>
        <v>28109250000</v>
      </c>
      <c r="C23" s="432">
        <f>+C24+C25+C26+C27</f>
        <v>4241028000</v>
      </c>
      <c r="D23" s="444">
        <f>+B23+C23</f>
        <v>32350278000</v>
      </c>
    </row>
    <row r="24" spans="1:9" ht="26.4" x14ac:dyDescent="0.3">
      <c r="A24" s="411" t="s">
        <v>381</v>
      </c>
      <c r="B24" s="415">
        <f>+D6*'1Aprov'!C5</f>
        <v>764400000</v>
      </c>
      <c r="C24" s="415">
        <f>+D7*'1Aprov'!D5</f>
        <v>33820000</v>
      </c>
      <c r="D24" s="416">
        <f t="shared" si="0"/>
        <v>798220000</v>
      </c>
    </row>
    <row r="25" spans="1:9" ht="26.4" x14ac:dyDescent="0.3">
      <c r="A25" s="411" t="s">
        <v>382</v>
      </c>
      <c r="B25" s="415">
        <f>+D6*'1Aprov'!C6</f>
        <v>3225300000</v>
      </c>
      <c r="C25" s="415">
        <f>+D7*'1Aprov'!D6</f>
        <v>143467999.99999985</v>
      </c>
      <c r="D25" s="416">
        <f t="shared" si="0"/>
        <v>3368768000</v>
      </c>
    </row>
    <row r="26" spans="1:9" ht="26.4" x14ac:dyDescent="0.3">
      <c r="A26" s="411" t="s">
        <v>383</v>
      </c>
      <c r="B26" s="415">
        <f>+D10*'1Aprov'!C7</f>
        <v>4639050000</v>
      </c>
      <c r="C26" s="415">
        <f>+D9*'1Aprov'!D7</f>
        <v>507300000</v>
      </c>
      <c r="D26" s="416">
        <f>+B26+C26</f>
        <v>5146350000</v>
      </c>
    </row>
    <row r="27" spans="1:9" ht="27" thickBot="1" x14ac:dyDescent="0.35">
      <c r="A27" s="451" t="s">
        <v>384</v>
      </c>
      <c r="B27" s="436">
        <f>+D10*'1Aprov'!C8</f>
        <v>19480500000</v>
      </c>
      <c r="C27" s="436">
        <f>+D11*'1Aprov'!D8</f>
        <v>3556440000</v>
      </c>
      <c r="D27" s="452">
        <f>+B27+C27</f>
        <v>23036940000</v>
      </c>
      <c r="E27" s="82"/>
    </row>
    <row r="28" spans="1:9" x14ac:dyDescent="0.3">
      <c r="A28" s="447" t="s">
        <v>380</v>
      </c>
      <c r="B28" s="448"/>
      <c r="C28" s="448">
        <f>+C29</f>
        <v>5815273200</v>
      </c>
      <c r="D28" s="449">
        <f>+B28+C28</f>
        <v>5815273200</v>
      </c>
    </row>
    <row r="29" spans="1:9" ht="15" thickBot="1" x14ac:dyDescent="0.35">
      <c r="A29" s="442" t="s">
        <v>379</v>
      </c>
      <c r="B29" s="435"/>
      <c r="C29" s="435">
        <f>+D14*CalcParq!C4</f>
        <v>5815273200</v>
      </c>
      <c r="D29" s="445">
        <f>+B29+C29</f>
        <v>5815273200</v>
      </c>
      <c r="E29" s="81"/>
    </row>
    <row r="30" spans="1:9" ht="15" thickBot="1" x14ac:dyDescent="0.35"/>
    <row r="31" spans="1:9" ht="17.399999999999999" x14ac:dyDescent="0.3">
      <c r="A31" s="1227" t="s">
        <v>405</v>
      </c>
      <c r="B31" s="1228"/>
      <c r="C31" s="1228"/>
      <c r="D31" s="1229"/>
    </row>
    <row r="32" spans="1:9" ht="26.4" x14ac:dyDescent="0.3">
      <c r="A32" s="428" t="s">
        <v>17</v>
      </c>
      <c r="B32" s="201" t="s">
        <v>184</v>
      </c>
      <c r="C32" s="201" t="s">
        <v>185</v>
      </c>
      <c r="D32" s="429" t="s">
        <v>33</v>
      </c>
      <c r="E32" s="79"/>
      <c r="F32" s="79"/>
      <c r="G32" s="79"/>
      <c r="H32" s="79"/>
      <c r="I32" s="80"/>
    </row>
    <row r="33" spans="1:5" ht="15" thickBot="1" x14ac:dyDescent="0.35">
      <c r="A33" s="217" t="s">
        <v>33</v>
      </c>
      <c r="B33" s="425">
        <f>+B35+B38+B43+B45</f>
        <v>80671650000</v>
      </c>
      <c r="C33" s="425">
        <f>+C35+C38+C43+C45</f>
        <v>19650943200</v>
      </c>
      <c r="D33" s="426">
        <f>+B33+C33</f>
        <v>100322593200</v>
      </c>
    </row>
    <row r="34" spans="1:5" ht="15" thickBot="1" x14ac:dyDescent="0.35">
      <c r="A34" s="1434"/>
      <c r="B34" s="1435"/>
      <c r="C34" s="1435"/>
      <c r="D34" s="1436"/>
    </row>
    <row r="35" spans="1:5" x14ac:dyDescent="0.3">
      <c r="A35" s="431" t="s">
        <v>308</v>
      </c>
      <c r="B35" s="432">
        <f>+B36+B37</f>
        <v>41392800000</v>
      </c>
      <c r="C35" s="432">
        <f>+C36+C37</f>
        <v>7671288800</v>
      </c>
      <c r="D35" s="433">
        <f>+B35+C35</f>
        <v>49064088800</v>
      </c>
      <c r="E35" s="82"/>
    </row>
    <row r="36" spans="1:5" x14ac:dyDescent="0.3">
      <c r="A36" s="430" t="s">
        <v>305</v>
      </c>
      <c r="B36" s="417">
        <f>+D2*'1Aprov'!C13</f>
        <v>34020000000</v>
      </c>
      <c r="C36" s="417">
        <f>+D3*'1Aprov'!D13</f>
        <v>6029100000</v>
      </c>
      <c r="D36" s="407">
        <f t="shared" ref="D36:D40" si="1">+B36+C36</f>
        <v>40049100000</v>
      </c>
      <c r="E36" s="82"/>
    </row>
    <row r="37" spans="1:5" ht="15" thickBot="1" x14ac:dyDescent="0.35">
      <c r="A37" s="434" t="s">
        <v>306</v>
      </c>
      <c r="B37" s="435">
        <f>+D4*'1Aprov'!C14</f>
        <v>7372800000</v>
      </c>
      <c r="C37" s="436">
        <f>+D5*'1Aprov'!D14</f>
        <v>1642188799.9999995</v>
      </c>
      <c r="D37" s="405">
        <f t="shared" si="1"/>
        <v>9014988800</v>
      </c>
      <c r="E37" s="82"/>
    </row>
    <row r="38" spans="1:5" x14ac:dyDescent="0.3">
      <c r="A38" s="437" t="s">
        <v>378</v>
      </c>
      <c r="B38" s="432">
        <f>+B39+B40+B41+B42</f>
        <v>14457300000</v>
      </c>
      <c r="C38" s="432">
        <f>+C39+C40+C41+C42</f>
        <v>1893208000</v>
      </c>
      <c r="D38" s="433">
        <f>+B38+C38</f>
        <v>16350508000</v>
      </c>
      <c r="E38" s="82"/>
    </row>
    <row r="39" spans="1:5" ht="26.4" x14ac:dyDescent="0.3">
      <c r="A39" s="430" t="s">
        <v>381</v>
      </c>
      <c r="B39" s="417">
        <f>+D6*'1Aprov'!C15</f>
        <v>764400000</v>
      </c>
      <c r="C39" s="417">
        <f>+D7*'1Aprov'!D15</f>
        <v>33820000</v>
      </c>
      <c r="D39" s="407">
        <f t="shared" si="1"/>
        <v>798220000</v>
      </c>
      <c r="E39" s="82"/>
    </row>
    <row r="40" spans="1:5" ht="26.4" x14ac:dyDescent="0.3">
      <c r="A40" s="424" t="s">
        <v>382</v>
      </c>
      <c r="B40" s="415">
        <f>+D6*'1Aprov'!C16</f>
        <v>3225300000</v>
      </c>
      <c r="C40" s="415">
        <f>+D7*'1Aprov'!D16</f>
        <v>143467999.99999985</v>
      </c>
      <c r="D40" s="404">
        <f t="shared" si="1"/>
        <v>3368768000</v>
      </c>
      <c r="E40" s="82"/>
    </row>
    <row r="41" spans="1:5" ht="26.4" x14ac:dyDescent="0.3">
      <c r="A41" s="424" t="s">
        <v>383</v>
      </c>
      <c r="B41" s="415">
        <f>+D8*'1Aprov'!C17</f>
        <v>2579850000</v>
      </c>
      <c r="C41" s="415">
        <f>+D9*'1Aprov'!D17</f>
        <v>279460000</v>
      </c>
      <c r="D41" s="404">
        <f t="shared" ref="D41:D46" si="2">+B41+C41</f>
        <v>2859310000</v>
      </c>
      <c r="E41" s="82"/>
    </row>
    <row r="42" spans="1:5" ht="27" thickBot="1" x14ac:dyDescent="0.35">
      <c r="A42" s="434" t="s">
        <v>384</v>
      </c>
      <c r="B42" s="436">
        <f>+D10*'1Aprov'!C18</f>
        <v>7887750000</v>
      </c>
      <c r="C42" s="436">
        <f>+D11*'1Aprov'!D18</f>
        <v>1436460000</v>
      </c>
      <c r="D42" s="405">
        <f t="shared" si="2"/>
        <v>9324210000</v>
      </c>
      <c r="E42" s="82"/>
    </row>
    <row r="43" spans="1:5" x14ac:dyDescent="0.3">
      <c r="A43" s="431" t="s">
        <v>309</v>
      </c>
      <c r="B43" s="432">
        <f>+B44</f>
        <v>24821550000</v>
      </c>
      <c r="C43" s="432">
        <f>+C44</f>
        <v>4255980000</v>
      </c>
      <c r="D43" s="433">
        <f>+B43+C43</f>
        <v>29077530000</v>
      </c>
      <c r="E43" s="82"/>
    </row>
    <row r="44" spans="1:5" ht="24" thickBot="1" x14ac:dyDescent="0.35">
      <c r="A44" s="438" t="s">
        <v>385</v>
      </c>
      <c r="B44" s="439">
        <f>+D12*'1Aprov'!C19</f>
        <v>24821550000</v>
      </c>
      <c r="C44" s="439">
        <f>+D13*'1Aprov'!D19</f>
        <v>4255980000</v>
      </c>
      <c r="D44" s="409">
        <f t="shared" si="2"/>
        <v>29077530000</v>
      </c>
      <c r="E44" s="82"/>
    </row>
    <row r="45" spans="1:5" x14ac:dyDescent="0.3">
      <c r="A45" s="440" t="s">
        <v>380</v>
      </c>
      <c r="B45" s="432">
        <f>+B46</f>
        <v>0</v>
      </c>
      <c r="C45" s="432">
        <f>+C46</f>
        <v>5830466400.000001</v>
      </c>
      <c r="D45" s="441">
        <f>+B45+C45</f>
        <v>5830466400.000001</v>
      </c>
      <c r="E45" s="82"/>
    </row>
    <row r="46" spans="1:5" ht="15" thickBot="1" x14ac:dyDescent="0.35">
      <c r="A46" s="442" t="s">
        <v>379</v>
      </c>
      <c r="B46" s="435"/>
      <c r="C46" s="435">
        <f>+D14*CalcParq!C5</f>
        <v>5830466400.000001</v>
      </c>
      <c r="D46" s="443">
        <f t="shared" si="2"/>
        <v>5830466400.000001</v>
      </c>
      <c r="E46" s="82"/>
    </row>
    <row r="47" spans="1:5" ht="15" thickBot="1" x14ac:dyDescent="0.35"/>
    <row r="48" spans="1:5" ht="18" thickTop="1" x14ac:dyDescent="0.3">
      <c r="A48" s="1431" t="s">
        <v>286</v>
      </c>
      <c r="B48" s="1432"/>
      <c r="C48" s="1432"/>
      <c r="D48" s="1432"/>
      <c r="E48" s="1433"/>
    </row>
    <row r="49" spans="1:6" ht="26.4" x14ac:dyDescent="0.3">
      <c r="A49" s="1429" t="s">
        <v>2</v>
      </c>
      <c r="B49" s="677" t="s">
        <v>184</v>
      </c>
      <c r="C49" s="677" t="s">
        <v>185</v>
      </c>
      <c r="D49" s="909" t="s">
        <v>33</v>
      </c>
      <c r="E49" s="910" t="s">
        <v>5</v>
      </c>
    </row>
    <row r="50" spans="1:6" ht="15" thickBot="1" x14ac:dyDescent="0.35">
      <c r="A50" s="1430"/>
      <c r="B50" s="425">
        <f>+B52+B55+B60+B62</f>
        <v>150173700000</v>
      </c>
      <c r="C50" s="425">
        <f>+C52+C55+C60+C62</f>
        <v>37378533200</v>
      </c>
      <c r="D50" s="897">
        <f>+D52+D55+D60+D62</f>
        <v>187552233200</v>
      </c>
      <c r="E50" s="908">
        <f>+E52+E55+E60+E62</f>
        <v>1</v>
      </c>
    </row>
    <row r="51" spans="1:6" ht="15" thickBot="1" x14ac:dyDescent="0.35">
      <c r="A51" s="1442"/>
      <c r="B51" s="1435"/>
      <c r="C51" s="1435"/>
      <c r="D51" s="1435"/>
      <c r="E51" s="1443"/>
    </row>
    <row r="52" spans="1:6" x14ac:dyDescent="0.3">
      <c r="A52" s="440" t="s">
        <v>377</v>
      </c>
      <c r="B52" s="432">
        <f>+B53+B54</f>
        <v>82785600000</v>
      </c>
      <c r="C52" s="432">
        <f>+C53+C54</f>
        <v>15342577600</v>
      </c>
      <c r="D52" s="898">
        <f>+B52+C52</f>
        <v>98128177600</v>
      </c>
      <c r="E52" s="907">
        <f>+D52/D50</f>
        <v>0.52320452775072579</v>
      </c>
      <c r="F52" s="81"/>
    </row>
    <row r="53" spans="1:6" x14ac:dyDescent="0.3">
      <c r="A53" s="411" t="s">
        <v>305</v>
      </c>
      <c r="B53" s="415">
        <f>+B21+B36</f>
        <v>68040000000</v>
      </c>
      <c r="C53" s="415">
        <f>+C21+C36</f>
        <v>12058200000</v>
      </c>
      <c r="D53" s="899">
        <f t="shared" ref="D53:D54" si="3">+B53+C53</f>
        <v>80098200000</v>
      </c>
      <c r="E53" s="904"/>
    </row>
    <row r="54" spans="1:6" ht="15" thickBot="1" x14ac:dyDescent="0.35">
      <c r="A54" s="451" t="s">
        <v>306</v>
      </c>
      <c r="B54" s="435">
        <f>+B22+B37</f>
        <v>14745600000</v>
      </c>
      <c r="C54" s="436">
        <f>+C22+C37</f>
        <v>3284377599.999999</v>
      </c>
      <c r="D54" s="900">
        <f t="shared" si="3"/>
        <v>18029977600</v>
      </c>
      <c r="E54" s="905"/>
    </row>
    <row r="55" spans="1:6" x14ac:dyDescent="0.3">
      <c r="A55" s="893" t="s">
        <v>378</v>
      </c>
      <c r="B55" s="448">
        <f>SUM(B56:B59)</f>
        <v>42566550000</v>
      </c>
      <c r="C55" s="448">
        <f>SUM(C56:C59)</f>
        <v>6134236000</v>
      </c>
      <c r="D55" s="901">
        <f>+B55+C55</f>
        <v>48700786000</v>
      </c>
      <c r="E55" s="907">
        <f>+D55/D50</f>
        <v>0.25966518856678694</v>
      </c>
    </row>
    <row r="56" spans="1:6" ht="26.4" x14ac:dyDescent="0.3">
      <c r="A56" s="894" t="s">
        <v>381</v>
      </c>
      <c r="B56" s="415">
        <f t="shared" ref="B56:C59" si="4">+B24+B39</f>
        <v>1528800000</v>
      </c>
      <c r="C56" s="415">
        <f t="shared" si="4"/>
        <v>67640000</v>
      </c>
      <c r="D56" s="899">
        <f t="shared" ref="D56:D63" si="5">+B56+C56</f>
        <v>1596440000</v>
      </c>
      <c r="E56" s="904"/>
    </row>
    <row r="57" spans="1:6" ht="26.4" x14ac:dyDescent="0.3">
      <c r="A57" s="411" t="s">
        <v>382</v>
      </c>
      <c r="B57" s="415">
        <f t="shared" si="4"/>
        <v>6450600000</v>
      </c>
      <c r="C57" s="415">
        <f t="shared" si="4"/>
        <v>286935999.9999997</v>
      </c>
      <c r="D57" s="899">
        <f t="shared" si="5"/>
        <v>6737536000</v>
      </c>
      <c r="E57" s="904"/>
    </row>
    <row r="58" spans="1:6" ht="26.4" x14ac:dyDescent="0.3">
      <c r="A58" s="411" t="s">
        <v>383</v>
      </c>
      <c r="B58" s="415">
        <f t="shared" si="4"/>
        <v>7218900000</v>
      </c>
      <c r="C58" s="415">
        <f t="shared" si="4"/>
        <v>786760000</v>
      </c>
      <c r="D58" s="899">
        <f t="shared" si="5"/>
        <v>8005660000</v>
      </c>
      <c r="E58" s="904"/>
    </row>
    <row r="59" spans="1:6" ht="27" thickBot="1" x14ac:dyDescent="0.35">
      <c r="A59" s="421" t="s">
        <v>384</v>
      </c>
      <c r="B59" s="422">
        <f t="shared" si="4"/>
        <v>27368250000</v>
      </c>
      <c r="C59" s="422">
        <f t="shared" si="4"/>
        <v>4992900000</v>
      </c>
      <c r="D59" s="902">
        <f t="shared" si="5"/>
        <v>32361150000</v>
      </c>
      <c r="E59" s="905"/>
    </row>
    <row r="60" spans="1:6" x14ac:dyDescent="0.3">
      <c r="A60" s="440" t="s">
        <v>309</v>
      </c>
      <c r="B60" s="432">
        <f>+B61</f>
        <v>24821550000</v>
      </c>
      <c r="C60" s="432">
        <f>+C61</f>
        <v>4255980000</v>
      </c>
      <c r="D60" s="898">
        <f>+B60+C60</f>
        <v>29077530000</v>
      </c>
      <c r="E60" s="907">
        <f>+D60/D50</f>
        <v>0.15503697025560131</v>
      </c>
    </row>
    <row r="61" spans="1:6" ht="27" thickBot="1" x14ac:dyDescent="0.35">
      <c r="A61" s="451" t="s">
        <v>307</v>
      </c>
      <c r="B61" s="436">
        <f>+B44</f>
        <v>24821550000</v>
      </c>
      <c r="C61" s="436">
        <f>+C44</f>
        <v>4255980000</v>
      </c>
      <c r="D61" s="900">
        <f t="shared" si="5"/>
        <v>29077530000</v>
      </c>
      <c r="E61" s="905"/>
    </row>
    <row r="62" spans="1:6" x14ac:dyDescent="0.3">
      <c r="A62" s="447" t="s">
        <v>380</v>
      </c>
      <c r="B62" s="448">
        <f>+B63</f>
        <v>0</v>
      </c>
      <c r="C62" s="448">
        <f>+C63</f>
        <v>11645739600</v>
      </c>
      <c r="D62" s="455">
        <f>+B62+C62</f>
        <v>11645739600</v>
      </c>
      <c r="E62" s="907">
        <f>+D62/D50</f>
        <v>6.2093313426885927E-2</v>
      </c>
    </row>
    <row r="63" spans="1:6" ht="15" thickBot="1" x14ac:dyDescent="0.35">
      <c r="A63" s="895" t="s">
        <v>386</v>
      </c>
      <c r="B63" s="896"/>
      <c r="C63" s="896">
        <f>+C28+C45</f>
        <v>11645739600</v>
      </c>
      <c r="D63" s="903">
        <f t="shared" si="5"/>
        <v>11645739600</v>
      </c>
      <c r="E63" s="906"/>
    </row>
    <row r="64" spans="1:6" ht="15" thickTop="1" x14ac:dyDescent="0.3"/>
  </sheetData>
  <sheetProtection algorithmName="SHA-512" hashValue="kuYYQHBSWGCEJovbvw0lI71Jb5P84aCEcirMhYQ1l+CmMBbwypX5K/E5tl1KjLxRqW5aoKCCPa4Q8I7yOAZ2Jw==" saltValue="cTf0LHqq3Yino2KCGf3+aA==" spinCount="100000" sheet="1" objects="1" scenarios="1" selectLockedCells="1" selectUnlockedCells="1"/>
  <mergeCells count="21">
    <mergeCell ref="A51:E51"/>
    <mergeCell ref="A1:D1"/>
    <mergeCell ref="A2:B2"/>
    <mergeCell ref="A4:B4"/>
    <mergeCell ref="A3:B3"/>
    <mergeCell ref="A5:B5"/>
    <mergeCell ref="A11:B11"/>
    <mergeCell ref="A12:B12"/>
    <mergeCell ref="A13:B13"/>
    <mergeCell ref="A16:D16"/>
    <mergeCell ref="A31:D31"/>
    <mergeCell ref="A6:B6"/>
    <mergeCell ref="A7:B7"/>
    <mergeCell ref="A8:B8"/>
    <mergeCell ref="A9:B9"/>
    <mergeCell ref="A10:B10"/>
    <mergeCell ref="A49:A50"/>
    <mergeCell ref="A48:E48"/>
    <mergeCell ref="A34:D34"/>
    <mergeCell ref="A19:D19"/>
    <mergeCell ref="A14:B14"/>
  </mergeCells>
  <pageMargins left="0.70866141732283472" right="0.70866141732283472" top="0.74803149606299213" bottom="0.74803149606299213" header="0.31496062992125984" footer="0.31496062992125984"/>
  <pageSetup scale="48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F63"/>
  <sheetViews>
    <sheetView zoomScaleNormal="100" workbookViewId="0">
      <selection activeCell="F4" sqref="F4"/>
    </sheetView>
  </sheetViews>
  <sheetFormatPr baseColWidth="10" defaultColWidth="11.44140625" defaultRowHeight="13.8" x14ac:dyDescent="0.25"/>
  <cols>
    <col min="1" max="1" width="36.5546875" style="55" customWidth="1"/>
    <col min="2" max="4" width="24" style="55" bestFit="1" customWidth="1"/>
    <col min="5" max="5" width="13.109375" style="55" bestFit="1" customWidth="1"/>
    <col min="6" max="6" width="15.6640625" style="55" bestFit="1" customWidth="1"/>
    <col min="7" max="16384" width="11.44140625" style="55"/>
  </cols>
  <sheetData>
    <row r="1" spans="1:6" ht="18" thickTop="1" x14ac:dyDescent="0.3">
      <c r="A1" s="1454" t="s">
        <v>253</v>
      </c>
      <c r="B1" s="1455"/>
      <c r="C1" s="1455"/>
      <c r="D1" s="1456"/>
    </row>
    <row r="2" spans="1:6" ht="15.6" x14ac:dyDescent="0.3">
      <c r="A2" s="387"/>
      <c r="B2" s="379" t="s">
        <v>337</v>
      </c>
      <c r="C2" s="379" t="s">
        <v>338</v>
      </c>
      <c r="D2" s="388" t="s">
        <v>33</v>
      </c>
    </row>
    <row r="3" spans="1:6" x14ac:dyDescent="0.25">
      <c r="A3" s="389" t="s">
        <v>187</v>
      </c>
      <c r="B3" s="384">
        <f t="shared" ref="B3:C3" si="0">+B5*B4</f>
        <v>735712400</v>
      </c>
      <c r="C3" s="384">
        <f t="shared" si="0"/>
        <v>911081850</v>
      </c>
      <c r="D3" s="390">
        <f>+D5*D4</f>
        <v>1646794250.0000002</v>
      </c>
    </row>
    <row r="4" spans="1:6" x14ac:dyDescent="0.25">
      <c r="A4" s="585" t="s">
        <v>186</v>
      </c>
      <c r="B4" s="374">
        <v>85000</v>
      </c>
      <c r="C4" s="374">
        <v>85000</v>
      </c>
      <c r="D4" s="391">
        <v>85000</v>
      </c>
      <c r="F4" s="56"/>
    </row>
    <row r="5" spans="1:6" x14ac:dyDescent="0.25">
      <c r="A5" s="387" t="s">
        <v>258</v>
      </c>
      <c r="B5" s="375">
        <f>+PartSloPyP!E30</f>
        <v>8655.44</v>
      </c>
      <c r="C5" s="375">
        <f>+PartSloPyP!G30</f>
        <v>10718.61</v>
      </c>
      <c r="D5" s="392">
        <f>+B5+C5</f>
        <v>19374.050000000003</v>
      </c>
    </row>
    <row r="6" spans="1:6" x14ac:dyDescent="0.25">
      <c r="A6" s="389" t="s">
        <v>193</v>
      </c>
      <c r="B6" s="386">
        <f>+B7*(B8+B9+B10+B11+B12+B13+B14)</f>
        <v>882683999.99999988</v>
      </c>
      <c r="C6" s="386">
        <f>+C7*(C8+C9+C10+C11+C12+C13+C14)</f>
        <v>1172043000</v>
      </c>
      <c r="D6" s="393">
        <f>+B6+C6</f>
        <v>2054727000</v>
      </c>
      <c r="E6" s="56"/>
    </row>
    <row r="7" spans="1:6" x14ac:dyDescent="0.25">
      <c r="A7" s="585" t="s">
        <v>197</v>
      </c>
      <c r="B7" s="374">
        <f>+D7</f>
        <v>300000</v>
      </c>
      <c r="C7" s="374">
        <f>+D7</f>
        <v>300000</v>
      </c>
      <c r="D7" s="391">
        <v>300000</v>
      </c>
    </row>
    <row r="8" spans="1:6" x14ac:dyDescent="0.25">
      <c r="A8" s="387" t="s">
        <v>189</v>
      </c>
      <c r="B8" s="360">
        <f>+PartSloPyP!E4</f>
        <v>674.62</v>
      </c>
      <c r="C8" s="360">
        <f>+PartSloPyP!G4</f>
        <v>262.92</v>
      </c>
      <c r="D8" s="392">
        <f>+B8+C8</f>
        <v>937.54</v>
      </c>
    </row>
    <row r="9" spans="1:6" x14ac:dyDescent="0.25">
      <c r="A9" s="387" t="s">
        <v>188</v>
      </c>
      <c r="B9" s="360">
        <f>+PartSloPyP!E5</f>
        <v>715.03</v>
      </c>
      <c r="C9" s="360">
        <f>+PartSloPyP!G5</f>
        <v>260.2</v>
      </c>
      <c r="D9" s="392">
        <f t="shared" ref="D9:D14" si="1">+B9+C9</f>
        <v>975.23</v>
      </c>
    </row>
    <row r="10" spans="1:6" x14ac:dyDescent="0.25">
      <c r="A10" s="387" t="s">
        <v>190</v>
      </c>
      <c r="B10" s="360">
        <f>+PartSloPyP!E6</f>
        <v>90.54</v>
      </c>
      <c r="C10" s="360">
        <f>+PartSloPyP!G6</f>
        <v>1336.05</v>
      </c>
      <c r="D10" s="392">
        <f t="shared" si="1"/>
        <v>1426.59</v>
      </c>
    </row>
    <row r="11" spans="1:6" x14ac:dyDescent="0.25">
      <c r="A11" s="387" t="s">
        <v>191</v>
      </c>
      <c r="B11" s="360">
        <f>+PartSloPyP!E7</f>
        <v>95.16</v>
      </c>
      <c r="C11" s="360">
        <f>+PartSloPyP!G7</f>
        <v>703.42</v>
      </c>
      <c r="D11" s="392">
        <f t="shared" si="1"/>
        <v>798.57999999999993</v>
      </c>
    </row>
    <row r="12" spans="1:6" x14ac:dyDescent="0.25">
      <c r="A12" s="387" t="s">
        <v>192</v>
      </c>
      <c r="B12" s="360">
        <f>+PartSloPyP!E8</f>
        <v>699.52</v>
      </c>
      <c r="C12" s="360">
        <f>+PartSloPyP!G8</f>
        <v>664.29</v>
      </c>
      <c r="D12" s="392">
        <f t="shared" si="1"/>
        <v>1363.81</v>
      </c>
    </row>
    <row r="13" spans="1:6" x14ac:dyDescent="0.25">
      <c r="A13" s="387" t="s">
        <v>310</v>
      </c>
      <c r="B13" s="360">
        <f>+PartSloPyP!E17</f>
        <v>196</v>
      </c>
      <c r="C13" s="360">
        <f>+PartSloPyP!G17</f>
        <v>196</v>
      </c>
      <c r="D13" s="392">
        <f t="shared" si="1"/>
        <v>392</v>
      </c>
    </row>
    <row r="14" spans="1:6" x14ac:dyDescent="0.25">
      <c r="A14" s="387" t="s">
        <v>311</v>
      </c>
      <c r="B14" s="360">
        <f>+PartSloPyP!E18</f>
        <v>471.40999999999997</v>
      </c>
      <c r="C14" s="360">
        <f>+PartSloPyP!G18</f>
        <v>483.93</v>
      </c>
      <c r="D14" s="392">
        <f t="shared" si="1"/>
        <v>955.33999999999992</v>
      </c>
    </row>
    <row r="15" spans="1:6" x14ac:dyDescent="0.25">
      <c r="A15" s="389" t="s">
        <v>201</v>
      </c>
      <c r="B15" s="386">
        <f>+B16*(B17+B18)</f>
        <v>2596716850</v>
      </c>
      <c r="C15" s="386">
        <f>+C16*(C17+C18)</f>
        <v>2360365800</v>
      </c>
      <c r="D15" s="393">
        <f>+B15+C15</f>
        <v>4957082650</v>
      </c>
      <c r="E15" s="57"/>
    </row>
    <row r="16" spans="1:6" x14ac:dyDescent="0.25">
      <c r="A16" s="585" t="s">
        <v>198</v>
      </c>
      <c r="B16" s="374">
        <v>295000</v>
      </c>
      <c r="C16" s="374">
        <v>295000</v>
      </c>
      <c r="D16" s="391">
        <v>295000</v>
      </c>
    </row>
    <row r="17" spans="1:6" x14ac:dyDescent="0.25">
      <c r="A17" s="387" t="s">
        <v>194</v>
      </c>
      <c r="B17" s="360">
        <f>+PartSloPyP!E9</f>
        <v>5433</v>
      </c>
      <c r="C17" s="360">
        <f>+PartSloPyP!G9</f>
        <v>1107.1400000000001</v>
      </c>
      <c r="D17" s="392">
        <f>+B17+C17</f>
        <v>6540.14</v>
      </c>
      <c r="F17" s="56"/>
    </row>
    <row r="18" spans="1:6" x14ac:dyDescent="0.25">
      <c r="A18" s="387" t="s">
        <v>195</v>
      </c>
      <c r="B18" s="360">
        <f>+PartSloPyP!E10</f>
        <v>3369.4300000000003</v>
      </c>
      <c r="C18" s="360">
        <f>+PartSloPyP!G10</f>
        <v>6894.1</v>
      </c>
      <c r="D18" s="392">
        <f t="shared" ref="D18" si="2">+B18+C18</f>
        <v>10263.530000000001</v>
      </c>
    </row>
    <row r="19" spans="1:6" ht="39.6" x14ac:dyDescent="0.25">
      <c r="A19" s="394" t="s">
        <v>202</v>
      </c>
      <c r="B19" s="385">
        <f t="shared" ref="B19" si="3">+B22*B21*B20</f>
        <v>1512690781.5703683</v>
      </c>
      <c r="C19" s="385">
        <f>+C22*C21*C20</f>
        <v>1533286416.2174795</v>
      </c>
      <c r="D19" s="395">
        <f>+D22*D21*D20</f>
        <v>3045977197.7878475</v>
      </c>
    </row>
    <row r="20" spans="1:6" x14ac:dyDescent="0.25">
      <c r="A20" s="396" t="s">
        <v>250</v>
      </c>
      <c r="B20" s="360">
        <f>+PartSloPyP!E11</f>
        <v>11077.3</v>
      </c>
      <c r="C20" s="360">
        <f>+PartSloPyP!G11</f>
        <v>11228.12</v>
      </c>
      <c r="D20" s="392">
        <f>+'0Model'!C5</f>
        <v>22305.42</v>
      </c>
    </row>
    <row r="21" spans="1:6" x14ac:dyDescent="0.25">
      <c r="A21" s="387" t="s">
        <v>251</v>
      </c>
      <c r="B21" s="376">
        <f>+VrSlo!E12</f>
        <v>2133714.3042110447</v>
      </c>
      <c r="C21" s="376">
        <f>+VrSlo!E12</f>
        <v>2133714.3042110447</v>
      </c>
      <c r="D21" s="397">
        <f>+VrSlo!E12</f>
        <v>2133714.3042110447</v>
      </c>
    </row>
    <row r="22" spans="1:6" x14ac:dyDescent="0.25">
      <c r="A22" s="387" t="s">
        <v>252</v>
      </c>
      <c r="B22" s="378">
        <v>6.4000000000000001E-2</v>
      </c>
      <c r="C22" s="378">
        <v>6.4000000000000001E-2</v>
      </c>
      <c r="D22" s="398">
        <v>6.4000000000000001E-2</v>
      </c>
    </row>
    <row r="23" spans="1:6" x14ac:dyDescent="0.25">
      <c r="A23" s="389" t="s">
        <v>196</v>
      </c>
      <c r="B23" s="384">
        <f>+B25*B24</f>
        <v>1896277500</v>
      </c>
      <c r="C23" s="384">
        <f>+(C25*C24)+(C26*C27)</f>
        <v>2538094500</v>
      </c>
      <c r="D23" s="390">
        <f>+B23+C23</f>
        <v>4434372000</v>
      </c>
      <c r="E23" s="1062"/>
    </row>
    <row r="24" spans="1:6" x14ac:dyDescent="0.25">
      <c r="A24" s="585" t="s">
        <v>199</v>
      </c>
      <c r="B24" s="374">
        <f>+'4Cd'!D6</f>
        <v>1950000</v>
      </c>
      <c r="C24" s="374">
        <f>+'4Cd'!D6</f>
        <v>1950000</v>
      </c>
      <c r="D24" s="391">
        <f>+'4Cd'!D6</f>
        <v>1950000</v>
      </c>
    </row>
    <row r="25" spans="1:6" x14ac:dyDescent="0.25">
      <c r="A25" s="387" t="s">
        <v>200</v>
      </c>
      <c r="B25" s="360">
        <f>+PartSloPyP!C14</f>
        <v>972.45</v>
      </c>
      <c r="C25" s="360">
        <f>+PartSloPyP!C14</f>
        <v>972.45</v>
      </c>
      <c r="D25" s="392">
        <f>+B25+C25</f>
        <v>1944.9</v>
      </c>
    </row>
    <row r="26" spans="1:6" x14ac:dyDescent="0.25">
      <c r="A26" s="387" t="s">
        <v>316</v>
      </c>
      <c r="B26" s="376">
        <f>+'4Cd'!D14</f>
        <v>1320000</v>
      </c>
      <c r="C26" s="376">
        <f>+'4Cd'!D14</f>
        <v>1320000</v>
      </c>
      <c r="D26" s="397">
        <f>+'4Cd'!D14</f>
        <v>1320000</v>
      </c>
    </row>
    <row r="27" spans="1:6" x14ac:dyDescent="0.25">
      <c r="A27" s="387"/>
      <c r="B27" s="360">
        <f>+PartSloPyP!C14/2</f>
        <v>486.22500000000002</v>
      </c>
      <c r="C27" s="360">
        <f>+PartSloPyP!C14/2</f>
        <v>486.22500000000002</v>
      </c>
      <c r="D27" s="392">
        <f>+B27+C27</f>
        <v>972.45</v>
      </c>
    </row>
    <row r="28" spans="1:6" x14ac:dyDescent="0.25">
      <c r="A28" s="1463" t="s">
        <v>254</v>
      </c>
      <c r="B28" s="380">
        <f>+B23+B19+B15+B6+B3</f>
        <v>7624081531.5703678</v>
      </c>
      <c r="C28" s="380">
        <f>+C23+C19+C15+C6+C3</f>
        <v>8514871566.2174797</v>
      </c>
      <c r="D28" s="399">
        <f>+B28+C28</f>
        <v>16138953097.787848</v>
      </c>
      <c r="E28" s="56"/>
    </row>
    <row r="29" spans="1:6" ht="14.4" thickBot="1" x14ac:dyDescent="0.3">
      <c r="A29" s="1464"/>
      <c r="B29" s="400">
        <f>+B28/D28</f>
        <v>0.4724024839390229</v>
      </c>
      <c r="C29" s="400">
        <f>+C28/D28</f>
        <v>0.52759751606097705</v>
      </c>
      <c r="D29" s="401">
        <f>+D28/D28</f>
        <v>1</v>
      </c>
    </row>
    <row r="30" spans="1:6" ht="15" thickTop="1" thickBot="1" x14ac:dyDescent="0.3">
      <c r="B30" s="58"/>
      <c r="C30" s="58"/>
      <c r="D30" s="58"/>
    </row>
    <row r="31" spans="1:6" ht="18" thickTop="1" x14ac:dyDescent="0.3">
      <c r="A31" s="1454" t="s">
        <v>255</v>
      </c>
      <c r="B31" s="1455"/>
      <c r="C31" s="1455"/>
      <c r="D31" s="1456"/>
    </row>
    <row r="32" spans="1:6" ht="15.6" x14ac:dyDescent="0.3">
      <c r="A32" s="387"/>
      <c r="B32" s="379" t="s">
        <v>337</v>
      </c>
      <c r="C32" s="379" t="s">
        <v>338</v>
      </c>
      <c r="D32" s="388" t="s">
        <v>33</v>
      </c>
    </row>
    <row r="33" spans="1:5" x14ac:dyDescent="0.25">
      <c r="A33" s="1465" t="s">
        <v>203</v>
      </c>
      <c r="B33" s="581">
        <f>+D33*B34</f>
        <v>6559862698.9619379</v>
      </c>
      <c r="C33" s="581">
        <f>+C34*D33</f>
        <v>8251077301.0380621</v>
      </c>
      <c r="D33" s="582">
        <v>14810940000</v>
      </c>
      <c r="E33" s="56"/>
    </row>
    <row r="34" spans="1:5" ht="14.4" thickBot="1" x14ac:dyDescent="0.3">
      <c r="A34" s="1466"/>
      <c r="B34" s="583">
        <f>+SloPri!E31</f>
        <v>0.44290657439446368</v>
      </c>
      <c r="C34" s="583">
        <f>+SloPri!G31</f>
        <v>0.55709342560553632</v>
      </c>
      <c r="D34" s="584">
        <f>+B34+C34</f>
        <v>1</v>
      </c>
      <c r="E34" s="56"/>
    </row>
    <row r="35" spans="1:5" ht="15" thickTop="1" thickBot="1" x14ac:dyDescent="0.3">
      <c r="B35" s="59"/>
      <c r="C35" s="59"/>
    </row>
    <row r="36" spans="1:5" ht="18" thickTop="1" x14ac:dyDescent="0.3">
      <c r="A36" s="1454" t="s">
        <v>256</v>
      </c>
      <c r="B36" s="1455"/>
      <c r="C36" s="1455"/>
      <c r="D36" s="1456"/>
    </row>
    <row r="37" spans="1:5" ht="15.6" x14ac:dyDescent="0.3">
      <c r="A37" s="387"/>
      <c r="B37" s="379" t="s">
        <v>337</v>
      </c>
      <c r="C37" s="379" t="s">
        <v>338</v>
      </c>
      <c r="D37" s="388" t="s">
        <v>33</v>
      </c>
    </row>
    <row r="38" spans="1:5" x14ac:dyDescent="0.25">
      <c r="A38" s="1453" t="s">
        <v>232</v>
      </c>
      <c r="B38" s="402">
        <f>+B40+B44</f>
        <v>1613748340</v>
      </c>
      <c r="C38" s="402">
        <f>+C40+C44</f>
        <v>1855967974.2</v>
      </c>
      <c r="D38" s="403">
        <f>+D40+D44</f>
        <v>3469716314.1999998</v>
      </c>
    </row>
    <row r="39" spans="1:5" x14ac:dyDescent="0.25">
      <c r="A39" s="1453"/>
      <c r="B39" s="564">
        <f>+B38/D38</f>
        <v>0.46509518181519582</v>
      </c>
      <c r="C39" s="564">
        <f>+C38/D38</f>
        <v>0.53490481818480429</v>
      </c>
      <c r="D39" s="565">
        <f>+B39+C39</f>
        <v>1</v>
      </c>
    </row>
    <row r="40" spans="1:5" x14ac:dyDescent="0.25">
      <c r="A40" s="566" t="s">
        <v>206</v>
      </c>
      <c r="B40" s="567">
        <f>+B42*B41</f>
        <v>305303740</v>
      </c>
      <c r="C40" s="567">
        <f>+C42*C41</f>
        <v>351129076.19999999</v>
      </c>
      <c r="D40" s="568">
        <f>+B40+C40</f>
        <v>656432816.20000005</v>
      </c>
    </row>
    <row r="41" spans="1:5" x14ac:dyDescent="0.25">
      <c r="A41" s="387" t="s">
        <v>207</v>
      </c>
      <c r="B41" s="569">
        <v>3.5000000000000001E-3</v>
      </c>
      <c r="C41" s="569">
        <v>3.5000000000000001E-3</v>
      </c>
      <c r="D41" s="570">
        <v>4.0000000000000001E-3</v>
      </c>
    </row>
    <row r="42" spans="1:5" x14ac:dyDescent="0.25">
      <c r="A42" s="387" t="s">
        <v>205</v>
      </c>
      <c r="B42" s="376">
        <f>+'4Cd'!D18</f>
        <v>87229640000</v>
      </c>
      <c r="C42" s="376">
        <f>+'4Cd'!D33</f>
        <v>100322593200</v>
      </c>
      <c r="D42" s="571">
        <f>+B42+C42</f>
        <v>187552233200</v>
      </c>
    </row>
    <row r="43" spans="1:5" ht="8.1" customHeight="1" x14ac:dyDescent="0.25">
      <c r="A43" s="387"/>
      <c r="B43" s="572"/>
      <c r="C43" s="573"/>
      <c r="D43" s="574"/>
    </row>
    <row r="44" spans="1:5" x14ac:dyDescent="0.25">
      <c r="A44" s="575" t="s">
        <v>204</v>
      </c>
      <c r="B44" s="576">
        <f>+B46*B45</f>
        <v>1308444600</v>
      </c>
      <c r="C44" s="576">
        <f>+C46*C45</f>
        <v>1504838898</v>
      </c>
      <c r="D44" s="577">
        <f>+B44+C44</f>
        <v>2813283498</v>
      </c>
    </row>
    <row r="45" spans="1:5" x14ac:dyDescent="0.25">
      <c r="A45" s="387" t="s">
        <v>207</v>
      </c>
      <c r="B45" s="569">
        <v>1.4999999999999999E-2</v>
      </c>
      <c r="C45" s="569">
        <v>1.4999999999999999E-2</v>
      </c>
      <c r="D45" s="570">
        <v>1.4999999999999999E-2</v>
      </c>
    </row>
    <row r="46" spans="1:5" ht="14.4" thickBot="1" x14ac:dyDescent="0.3">
      <c r="A46" s="578" t="s">
        <v>205</v>
      </c>
      <c r="B46" s="579">
        <f>+'4Cd'!D18</f>
        <v>87229640000</v>
      </c>
      <c r="C46" s="579">
        <f>+'4Cd'!D33</f>
        <v>100322593200</v>
      </c>
      <c r="D46" s="580">
        <f>+B46+C46</f>
        <v>187552233200</v>
      </c>
    </row>
    <row r="47" spans="1:5" ht="15" thickTop="1" thickBot="1" x14ac:dyDescent="0.3">
      <c r="B47" s="59"/>
      <c r="C47" s="59"/>
      <c r="D47" s="58"/>
    </row>
    <row r="48" spans="1:5" ht="18" thickTop="1" x14ac:dyDescent="0.3">
      <c r="A48" s="1454" t="s">
        <v>269</v>
      </c>
      <c r="B48" s="1455"/>
      <c r="C48" s="1455"/>
      <c r="D48" s="1456"/>
    </row>
    <row r="49" spans="1:4" ht="16.2" thickBot="1" x14ac:dyDescent="0.35">
      <c r="A49" s="927" t="s">
        <v>4</v>
      </c>
      <c r="B49" s="935" t="s">
        <v>337</v>
      </c>
      <c r="C49" s="935" t="s">
        <v>338</v>
      </c>
      <c r="D49" s="928" t="s">
        <v>33</v>
      </c>
    </row>
    <row r="50" spans="1:4" ht="15" customHeight="1" x14ac:dyDescent="0.25">
      <c r="A50" s="1457" t="s">
        <v>270</v>
      </c>
      <c r="B50" s="936">
        <f>+B28</f>
        <v>7624081531.5703678</v>
      </c>
      <c r="C50" s="936">
        <f>+C28</f>
        <v>8514871566.2174797</v>
      </c>
      <c r="D50" s="929">
        <f>+D28</f>
        <v>16138953097.787848</v>
      </c>
    </row>
    <row r="51" spans="1:4" ht="14.4" thickBot="1" x14ac:dyDescent="0.3">
      <c r="A51" s="1458"/>
      <c r="B51" s="937">
        <f>+B50/D50</f>
        <v>0.4724024839390229</v>
      </c>
      <c r="C51" s="937">
        <f>+C50/D50</f>
        <v>0.52759751606097705</v>
      </c>
      <c r="D51" s="930">
        <f>+B51+C51</f>
        <v>1</v>
      </c>
    </row>
    <row r="52" spans="1:4" x14ac:dyDescent="0.25">
      <c r="A52" s="1459" t="s">
        <v>203</v>
      </c>
      <c r="B52" s="938">
        <f>+B33</f>
        <v>6559862698.9619379</v>
      </c>
      <c r="C52" s="938">
        <f>+C33</f>
        <v>8251077301.0380621</v>
      </c>
      <c r="D52" s="931">
        <f>+D33</f>
        <v>14810940000</v>
      </c>
    </row>
    <row r="53" spans="1:4" ht="14.4" thickBot="1" x14ac:dyDescent="0.3">
      <c r="A53" s="1460"/>
      <c r="B53" s="939">
        <f>+B52/D52</f>
        <v>0.44290657439446368</v>
      </c>
      <c r="C53" s="939">
        <f>+C52/D52</f>
        <v>0.55709342560553632</v>
      </c>
      <c r="D53" s="932">
        <f>+B53+C53</f>
        <v>1</v>
      </c>
    </row>
    <row r="54" spans="1:4" x14ac:dyDescent="0.25">
      <c r="A54" s="1461" t="s">
        <v>447</v>
      </c>
      <c r="B54" s="940">
        <f>+B38</f>
        <v>1613748340</v>
      </c>
      <c r="C54" s="940">
        <f>+C38</f>
        <v>1855967974.2</v>
      </c>
      <c r="D54" s="933">
        <f>+D38</f>
        <v>3469716314.1999998</v>
      </c>
    </row>
    <row r="55" spans="1:4" ht="14.4" thickBot="1" x14ac:dyDescent="0.3">
      <c r="A55" s="1462"/>
      <c r="B55" s="941">
        <f>+B54/D54</f>
        <v>0.46509518181519582</v>
      </c>
      <c r="C55" s="941">
        <f>+C54/D54</f>
        <v>0.53490481818480429</v>
      </c>
      <c r="D55" s="934">
        <f>+B55+C55</f>
        <v>1</v>
      </c>
    </row>
    <row r="56" spans="1:4" ht="15" customHeight="1" x14ac:dyDescent="0.3">
      <c r="A56" s="1451" t="s">
        <v>271</v>
      </c>
      <c r="B56" s="1135">
        <f>+B50+B52+B54</f>
        <v>15797692570.532307</v>
      </c>
      <c r="C56" s="1135">
        <f>+C50+C52+C54</f>
        <v>18621916841.455544</v>
      </c>
      <c r="D56" s="1136">
        <f>+B56+C56</f>
        <v>34419609411.987854</v>
      </c>
    </row>
    <row r="57" spans="1:4" ht="15.75" customHeight="1" thickBot="1" x14ac:dyDescent="0.35">
      <c r="A57" s="1452"/>
      <c r="B57" s="1137">
        <f>+B56/D56</f>
        <v>0.45897361534353143</v>
      </c>
      <c r="C57" s="1137">
        <f>+C56/D56</f>
        <v>0.54102638465646846</v>
      </c>
      <c r="D57" s="1138">
        <f>+B57+C57</f>
        <v>0.99999999999999989</v>
      </c>
    </row>
    <row r="58" spans="1:4" ht="15" thickTop="1" thickBot="1" x14ac:dyDescent="0.3"/>
    <row r="59" spans="1:4" ht="15" customHeight="1" x14ac:dyDescent="0.3">
      <c r="A59" s="1449" t="s">
        <v>467</v>
      </c>
      <c r="B59" s="1450"/>
      <c r="C59" s="185"/>
    </row>
    <row r="60" spans="1:4" x14ac:dyDescent="0.25">
      <c r="A60" s="1007" t="s">
        <v>468</v>
      </c>
      <c r="B60" s="1008">
        <f>+D50/PartSloPyP!C11</f>
        <v>723544.01297029376</v>
      </c>
      <c r="C60" s="1195">
        <f>+D50/PartSloPyP!C31</f>
        <v>1766283.1552840734</v>
      </c>
    </row>
    <row r="61" spans="1:4" ht="14.4" thickBot="1" x14ac:dyDescent="0.3">
      <c r="A61" s="1009" t="s">
        <v>469</v>
      </c>
      <c r="B61" s="1010">
        <f>+D50/PartSloPyP!C25</f>
        <v>497883.64431858622</v>
      </c>
      <c r="C61" s="1195">
        <f>+D50/PartSloPyP!C30</f>
        <v>833019.06920792733</v>
      </c>
    </row>
    <row r="62" spans="1:4" x14ac:dyDescent="0.25">
      <c r="C62" s="185"/>
    </row>
    <row r="63" spans="1:4" x14ac:dyDescent="0.25">
      <c r="B63" s="56"/>
    </row>
  </sheetData>
  <sheetProtection algorithmName="SHA-512" hashValue="+0DgNudEOJ8bEWinm0QWYqyUYmXXQ7iYlymer2coS134ZPWdo68dRfyZOYXM9o23lzQBH8WQpLD1iqZAPbjApA==" saltValue="RKcAFBEBNd/tEOCfsPZsKA==" spinCount="100000" sheet="1" objects="1" scenarios="1" selectLockedCells="1" selectUnlockedCells="1"/>
  <mergeCells count="12">
    <mergeCell ref="A31:D31"/>
    <mergeCell ref="A36:D36"/>
    <mergeCell ref="A1:D1"/>
    <mergeCell ref="A28:A29"/>
    <mergeCell ref="A33:A34"/>
    <mergeCell ref="A59:B59"/>
    <mergeCell ref="A56:A57"/>
    <mergeCell ref="A38:A39"/>
    <mergeCell ref="A48:D48"/>
    <mergeCell ref="A50:A51"/>
    <mergeCell ref="A52:A53"/>
    <mergeCell ref="A54:A55"/>
  </mergeCells>
  <pageMargins left="0.70866141732283472" right="0.70866141732283472" top="0.74803149606299213" bottom="0.74803149606299213" header="0.31496062992125984" footer="0.31496062992125984"/>
  <pageSetup scale="88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26"/>
  <sheetViews>
    <sheetView zoomScaleNormal="100" workbookViewId="0">
      <selection activeCell="G23" sqref="G23"/>
    </sheetView>
  </sheetViews>
  <sheetFormatPr baseColWidth="10" defaultRowHeight="14.4" x14ac:dyDescent="0.3"/>
  <cols>
    <col min="1" max="1" width="6.44140625" bestFit="1" customWidth="1"/>
    <col min="2" max="2" width="22.88671875" customWidth="1"/>
    <col min="3" max="5" width="21" bestFit="1" customWidth="1"/>
    <col min="6" max="6" width="19.88671875" customWidth="1"/>
  </cols>
  <sheetData>
    <row r="1" spans="1:7" ht="17.399999999999999" x14ac:dyDescent="0.3">
      <c r="A1" s="1203" t="s">
        <v>211</v>
      </c>
      <c r="B1" s="1204"/>
      <c r="C1" s="1204"/>
      <c r="D1" s="1204"/>
      <c r="E1" s="1205"/>
      <c r="F1" s="41"/>
    </row>
    <row r="2" spans="1:7" ht="8.1" customHeight="1" thickBot="1" x14ac:dyDescent="0.35">
      <c r="A2" s="1487"/>
      <c r="B2" s="1488"/>
      <c r="C2" s="1488"/>
      <c r="D2" s="1488"/>
      <c r="E2" s="1489"/>
      <c r="F2" s="45"/>
    </row>
    <row r="3" spans="1:7" ht="15.6" x14ac:dyDescent="0.3">
      <c r="A3" s="1478" t="s">
        <v>86</v>
      </c>
      <c r="B3" s="1479"/>
      <c r="C3" s="599" t="s">
        <v>337</v>
      </c>
      <c r="D3" s="599" t="s">
        <v>338</v>
      </c>
      <c r="E3" s="600" t="s">
        <v>33</v>
      </c>
      <c r="F3" s="41"/>
    </row>
    <row r="4" spans="1:7" ht="15.6" x14ac:dyDescent="0.3">
      <c r="A4" s="1480" t="s">
        <v>224</v>
      </c>
      <c r="B4" s="1481"/>
      <c r="C4" s="586">
        <v>1</v>
      </c>
      <c r="D4" s="586">
        <v>1</v>
      </c>
      <c r="E4" s="587">
        <v>1</v>
      </c>
      <c r="F4" s="42"/>
    </row>
    <row r="5" spans="1:7" ht="16.2" thickBot="1" x14ac:dyDescent="0.35">
      <c r="A5" s="1482" t="s">
        <v>223</v>
      </c>
      <c r="B5" s="1483"/>
      <c r="C5" s="601">
        <f>+'3Vtas'!B13</f>
        <v>236498200000</v>
      </c>
      <c r="D5" s="601">
        <f>+'3Vtas'!C13</f>
        <v>279491200000</v>
      </c>
      <c r="E5" s="602">
        <f>+'3Vtas'!D13</f>
        <v>515989400000</v>
      </c>
      <c r="F5" s="42"/>
    </row>
    <row r="6" spans="1:7" ht="8.1" customHeight="1" thickBot="1" x14ac:dyDescent="0.35">
      <c r="A6" s="1484"/>
      <c r="B6" s="1485"/>
      <c r="C6" s="1485"/>
      <c r="D6" s="1485"/>
      <c r="E6" s="1486"/>
      <c r="F6" s="42"/>
    </row>
    <row r="7" spans="1:7" ht="15.6" x14ac:dyDescent="0.3">
      <c r="A7" s="603">
        <v>6.0000000000000001E-3</v>
      </c>
      <c r="B7" s="604" t="s">
        <v>212</v>
      </c>
      <c r="C7" s="605">
        <f t="shared" ref="C7:C17" si="0">+C$5*A7</f>
        <v>1418989200</v>
      </c>
      <c r="D7" s="606">
        <f t="shared" ref="D7:D17" si="1">+D$5*A7</f>
        <v>1676947200</v>
      </c>
      <c r="E7" s="607">
        <f t="shared" ref="E7:E17" si="2">+E$5*A7</f>
        <v>3095936400</v>
      </c>
      <c r="F7" s="42"/>
    </row>
    <row r="8" spans="1:7" ht="15.6" x14ac:dyDescent="0.3">
      <c r="A8" s="588">
        <v>0.03</v>
      </c>
      <c r="B8" s="595" t="s">
        <v>213</v>
      </c>
      <c r="C8" s="596">
        <f t="shared" si="0"/>
        <v>7094946000</v>
      </c>
      <c r="D8" s="597">
        <f t="shared" si="1"/>
        <v>8384736000</v>
      </c>
      <c r="E8" s="598">
        <f t="shared" si="2"/>
        <v>15479682000</v>
      </c>
      <c r="F8" s="42"/>
      <c r="G8" s="47"/>
    </row>
    <row r="9" spans="1:7" ht="15.6" x14ac:dyDescent="0.3">
      <c r="A9" s="588">
        <v>0.03</v>
      </c>
      <c r="B9" s="589" t="s">
        <v>214</v>
      </c>
      <c r="C9" s="590">
        <f t="shared" si="0"/>
        <v>7094946000</v>
      </c>
      <c r="D9" s="591">
        <f t="shared" si="1"/>
        <v>8384736000</v>
      </c>
      <c r="E9" s="592">
        <f t="shared" si="2"/>
        <v>15479682000</v>
      </c>
      <c r="F9" s="42"/>
      <c r="G9" s="47"/>
    </row>
    <row r="10" spans="1:7" ht="15.6" x14ac:dyDescent="0.3">
      <c r="A10" s="588">
        <v>0.01</v>
      </c>
      <c r="B10" s="589" t="s">
        <v>215</v>
      </c>
      <c r="C10" s="590">
        <f t="shared" si="0"/>
        <v>2364982000</v>
      </c>
      <c r="D10" s="591">
        <f t="shared" si="1"/>
        <v>2794912000</v>
      </c>
      <c r="E10" s="592">
        <f t="shared" si="2"/>
        <v>5159894000</v>
      </c>
      <c r="F10" s="42"/>
      <c r="G10" s="47"/>
    </row>
    <row r="11" spans="1:7" ht="15.6" x14ac:dyDescent="0.3">
      <c r="A11" s="588">
        <v>8.0000000000000002E-3</v>
      </c>
      <c r="B11" s="589" t="s">
        <v>216</v>
      </c>
      <c r="C11" s="590">
        <f t="shared" si="0"/>
        <v>1891985600</v>
      </c>
      <c r="D11" s="591">
        <f t="shared" si="1"/>
        <v>2235929600</v>
      </c>
      <c r="E11" s="592">
        <f t="shared" si="2"/>
        <v>4127915200</v>
      </c>
      <c r="F11" s="42"/>
      <c r="G11" s="47"/>
    </row>
    <row r="12" spans="1:7" ht="15.6" x14ac:dyDescent="0.3">
      <c r="A12" s="588">
        <v>0.03</v>
      </c>
      <c r="B12" s="589" t="s">
        <v>217</v>
      </c>
      <c r="C12" s="590">
        <f t="shared" si="0"/>
        <v>7094946000</v>
      </c>
      <c r="D12" s="591">
        <f t="shared" si="1"/>
        <v>8384736000</v>
      </c>
      <c r="E12" s="592">
        <f t="shared" si="2"/>
        <v>15479682000</v>
      </c>
      <c r="F12" s="42"/>
      <c r="G12" s="47"/>
    </row>
    <row r="13" spans="1:7" ht="15.6" x14ac:dyDescent="0.3">
      <c r="A13" s="588">
        <v>0.01</v>
      </c>
      <c r="B13" s="589" t="s">
        <v>218</v>
      </c>
      <c r="C13" s="590">
        <f t="shared" si="0"/>
        <v>2364982000</v>
      </c>
      <c r="D13" s="591">
        <f t="shared" si="1"/>
        <v>2794912000</v>
      </c>
      <c r="E13" s="592">
        <f t="shared" si="2"/>
        <v>5159894000</v>
      </c>
      <c r="F13" s="42"/>
      <c r="G13" s="47"/>
    </row>
    <row r="14" spans="1:7" ht="15.6" x14ac:dyDescent="0.3">
      <c r="A14" s="588">
        <v>1.2999999999999999E-2</v>
      </c>
      <c r="B14" s="589" t="s">
        <v>219</v>
      </c>
      <c r="C14" s="590">
        <f t="shared" si="0"/>
        <v>3074476600</v>
      </c>
      <c r="D14" s="591">
        <f t="shared" si="1"/>
        <v>3633385600</v>
      </c>
      <c r="E14" s="592">
        <f t="shared" si="2"/>
        <v>6707862200</v>
      </c>
      <c r="F14" s="42"/>
    </row>
    <row r="15" spans="1:7" ht="15.6" x14ac:dyDescent="0.3">
      <c r="A15" s="588">
        <v>0.04</v>
      </c>
      <c r="B15" s="589" t="s">
        <v>220</v>
      </c>
      <c r="C15" s="590">
        <f t="shared" si="0"/>
        <v>9459928000</v>
      </c>
      <c r="D15" s="591">
        <f t="shared" si="1"/>
        <v>11179648000</v>
      </c>
      <c r="E15" s="592">
        <f t="shared" si="2"/>
        <v>20639576000</v>
      </c>
      <c r="F15" s="42"/>
    </row>
    <row r="16" spans="1:7" ht="15.6" x14ac:dyDescent="0.3">
      <c r="A16" s="588">
        <v>1.4999999999999999E-2</v>
      </c>
      <c r="B16" s="589" t="s">
        <v>221</v>
      </c>
      <c r="C16" s="590">
        <f t="shared" si="0"/>
        <v>3547473000</v>
      </c>
      <c r="D16" s="591">
        <f t="shared" si="1"/>
        <v>4192368000</v>
      </c>
      <c r="E16" s="592">
        <f t="shared" si="2"/>
        <v>7739841000</v>
      </c>
      <c r="F16" s="42"/>
    </row>
    <row r="17" spans="1:6" ht="16.2" thickBot="1" x14ac:dyDescent="0.35">
      <c r="A17" s="608">
        <v>1.2999999999999999E-2</v>
      </c>
      <c r="B17" s="609" t="s">
        <v>222</v>
      </c>
      <c r="C17" s="610">
        <f t="shared" si="0"/>
        <v>3074476600</v>
      </c>
      <c r="D17" s="611">
        <f t="shared" si="1"/>
        <v>3633385600</v>
      </c>
      <c r="E17" s="612">
        <f t="shared" si="2"/>
        <v>6707862200</v>
      </c>
      <c r="F17" s="42"/>
    </row>
    <row r="18" spans="1:6" ht="15.6" x14ac:dyDescent="0.3">
      <c r="A18" s="613">
        <f>SUM(A7:A17)</f>
        <v>0.20500000000000002</v>
      </c>
      <c r="B18" s="614" t="s">
        <v>2</v>
      </c>
      <c r="C18" s="615">
        <f>SUM(C7:C17)</f>
        <v>48482131000</v>
      </c>
      <c r="D18" s="616">
        <f>SUM(D7:D17)</f>
        <v>57295696000</v>
      </c>
      <c r="E18" s="617">
        <f>SUM(E7:E17)</f>
        <v>105777827000</v>
      </c>
      <c r="F18" s="42"/>
    </row>
    <row r="19" spans="1:6" ht="16.2" thickBot="1" x14ac:dyDescent="0.35">
      <c r="A19" s="1476" t="s">
        <v>225</v>
      </c>
      <c r="B19" s="1477"/>
      <c r="C19" s="593">
        <f>+C5/E5</f>
        <v>0.45833926045767609</v>
      </c>
      <c r="D19" s="593">
        <f>+D5/E5</f>
        <v>0.54166073954232397</v>
      </c>
      <c r="E19" s="594">
        <f>+E5/E5</f>
        <v>1</v>
      </c>
      <c r="F19" s="42"/>
    </row>
    <row r="20" spans="1:6" ht="16.2" thickBot="1" x14ac:dyDescent="0.35">
      <c r="A20" s="44"/>
      <c r="B20" s="42"/>
      <c r="C20" s="43"/>
      <c r="D20" s="43"/>
      <c r="E20" s="43"/>
      <c r="F20" s="42"/>
    </row>
    <row r="21" spans="1:6" ht="18.600000000000001" thickTop="1" thickBot="1" x14ac:dyDescent="0.35">
      <c r="A21" s="1467" t="s">
        <v>211</v>
      </c>
      <c r="B21" s="1468"/>
      <c r="C21" s="1468"/>
      <c r="D21" s="1468"/>
      <c r="E21" s="1469"/>
      <c r="F21" s="42"/>
    </row>
    <row r="22" spans="1:6" ht="15.6" x14ac:dyDescent="0.3">
      <c r="A22" s="1470" t="s">
        <v>86</v>
      </c>
      <c r="B22" s="1471"/>
      <c r="C22" s="1065" t="s">
        <v>337</v>
      </c>
      <c r="D22" s="1065" t="s">
        <v>338</v>
      </c>
      <c r="E22" s="1066" t="s">
        <v>68</v>
      </c>
      <c r="F22" s="42"/>
    </row>
    <row r="23" spans="1:6" ht="16.2" thickBot="1" x14ac:dyDescent="0.35">
      <c r="A23" s="1472" t="s">
        <v>223</v>
      </c>
      <c r="B23" s="1473"/>
      <c r="C23" s="943">
        <f>+C5</f>
        <v>236498200000</v>
      </c>
      <c r="D23" s="943">
        <f>+D5</f>
        <v>279491200000</v>
      </c>
      <c r="E23" s="944">
        <f>+C23+D23</f>
        <v>515989400000</v>
      </c>
      <c r="F23" s="42"/>
    </row>
    <row r="24" spans="1:6" x14ac:dyDescent="0.3">
      <c r="A24" s="1474">
        <f>+E24/E23</f>
        <v>0.20499999999999999</v>
      </c>
      <c r="B24" s="945" t="s">
        <v>2</v>
      </c>
      <c r="C24" s="946">
        <f>+C18</f>
        <v>48482131000</v>
      </c>
      <c r="D24" s="947">
        <f>+D18</f>
        <v>57295696000</v>
      </c>
      <c r="E24" s="948">
        <f>+C24+D24</f>
        <v>105777827000</v>
      </c>
    </row>
    <row r="25" spans="1:6" ht="15" thickBot="1" x14ac:dyDescent="0.35">
      <c r="A25" s="1475"/>
      <c r="B25" s="925" t="s">
        <v>449</v>
      </c>
      <c r="C25" s="922">
        <f>+C23/E23</f>
        <v>0.45833926045767609</v>
      </c>
      <c r="D25" s="922">
        <f>+D23/E23</f>
        <v>0.54166073954232397</v>
      </c>
      <c r="E25" s="918">
        <f>+E23/E23</f>
        <v>1</v>
      </c>
    </row>
    <row r="26" spans="1:6" ht="15" thickTop="1" x14ac:dyDescent="0.3"/>
  </sheetData>
  <sheetProtection algorithmName="SHA-512" hashValue="TSiHgaaSebWOkuOiH7AOtiLGeNWOjUKzS5JTWUKRZX+B/gDBTiszkOF0ePVdLWEm6Gz7M3S3gh2Ci+XtS5qy4g==" saltValue="dMysLYCd3EtxOp+16q4LZg==" spinCount="100000" sheet="1" objects="1" scenarios="1" selectLockedCells="1" selectUnlockedCells="1"/>
  <mergeCells count="11">
    <mergeCell ref="A3:B3"/>
    <mergeCell ref="A1:E1"/>
    <mergeCell ref="A4:B4"/>
    <mergeCell ref="A5:B5"/>
    <mergeCell ref="A6:E6"/>
    <mergeCell ref="A2:E2"/>
    <mergeCell ref="A21:E21"/>
    <mergeCell ref="A22:B22"/>
    <mergeCell ref="A23:B23"/>
    <mergeCell ref="A24:A25"/>
    <mergeCell ref="A19:B19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F32"/>
  <sheetViews>
    <sheetView zoomScaleNormal="100" workbookViewId="0">
      <selection activeCell="F19" sqref="F19"/>
    </sheetView>
  </sheetViews>
  <sheetFormatPr baseColWidth="10" defaultRowHeight="14.4" x14ac:dyDescent="0.3"/>
  <cols>
    <col min="1" max="1" width="7.109375" bestFit="1" customWidth="1"/>
    <col min="2" max="2" width="21.109375" customWidth="1"/>
    <col min="3" max="5" width="17.44140625" bestFit="1" customWidth="1"/>
    <col min="6" max="6" width="19.88671875" customWidth="1"/>
  </cols>
  <sheetData>
    <row r="1" spans="1:6" ht="17.399999999999999" x14ac:dyDescent="0.3">
      <c r="A1" s="1203" t="s">
        <v>226</v>
      </c>
      <c r="B1" s="1204"/>
      <c r="C1" s="1204"/>
      <c r="D1" s="1204"/>
      <c r="E1" s="1205"/>
      <c r="F1" s="41"/>
    </row>
    <row r="2" spans="1:6" ht="8.1" customHeight="1" x14ac:dyDescent="0.3">
      <c r="A2" s="1218"/>
      <c r="B2" s="1214"/>
      <c r="C2" s="1214"/>
      <c r="D2" s="1214"/>
      <c r="E2" s="1219"/>
      <c r="F2" s="45"/>
    </row>
    <row r="3" spans="1:6" ht="15.6" x14ac:dyDescent="0.3">
      <c r="A3" s="1495" t="s">
        <v>86</v>
      </c>
      <c r="B3" s="1212"/>
      <c r="C3" s="481" t="s">
        <v>337</v>
      </c>
      <c r="D3" s="481" t="s">
        <v>338</v>
      </c>
      <c r="E3" s="482" t="s">
        <v>33</v>
      </c>
      <c r="F3" s="41"/>
    </row>
    <row r="4" spans="1:6" ht="15.6" x14ac:dyDescent="0.3">
      <c r="A4" s="1496" t="s">
        <v>223</v>
      </c>
      <c r="B4" s="1497"/>
      <c r="C4" s="479">
        <f>+'3Vtas'!B13</f>
        <v>236498200000</v>
      </c>
      <c r="D4" s="479">
        <f>+'3Vtas'!C13</f>
        <v>279491200000</v>
      </c>
      <c r="E4" s="480">
        <f>+'3Vtas'!D13</f>
        <v>515989400000</v>
      </c>
      <c r="F4" s="42"/>
    </row>
    <row r="5" spans="1:6" ht="15.6" x14ac:dyDescent="0.3">
      <c r="A5" s="1499" t="s">
        <v>326</v>
      </c>
      <c r="B5" s="1500"/>
      <c r="C5" s="376">
        <f>+'3Vtas'!B17</f>
        <v>75600000000</v>
      </c>
      <c r="D5" s="376">
        <f>+'3Vtas'!C17</f>
        <v>75600000000</v>
      </c>
      <c r="E5" s="377">
        <f>+C5+D5</f>
        <v>151200000000</v>
      </c>
      <c r="F5" s="42"/>
    </row>
    <row r="6" spans="1:6" ht="15.6" x14ac:dyDescent="0.3">
      <c r="A6" s="1499" t="s">
        <v>327</v>
      </c>
      <c r="B6" s="1500"/>
      <c r="C6" s="376">
        <f>+'3Vtas'!B18</f>
        <v>22528000000</v>
      </c>
      <c r="D6" s="376">
        <f>+'3Vtas'!C18</f>
        <v>22528000000</v>
      </c>
      <c r="E6" s="377">
        <f t="shared" ref="E6:E11" si="0">+C6+D6</f>
        <v>45056000000</v>
      </c>
      <c r="F6" s="42"/>
    </row>
    <row r="7" spans="1:6" ht="15.6" x14ac:dyDescent="0.3">
      <c r="A7" s="1494" t="s">
        <v>387</v>
      </c>
      <c r="B7" s="1291"/>
      <c r="C7" s="376">
        <f>+'3Vtas'!B20</f>
        <v>3332000000</v>
      </c>
      <c r="D7" s="376">
        <f>+'3Vtas'!C20</f>
        <v>3332000000</v>
      </c>
      <c r="E7" s="377">
        <f t="shared" si="0"/>
        <v>6664000000</v>
      </c>
      <c r="F7" s="42"/>
    </row>
    <row r="8" spans="1:6" s="47" customFormat="1" ht="15.6" x14ac:dyDescent="0.3">
      <c r="A8" s="1494" t="s">
        <v>388</v>
      </c>
      <c r="B8" s="1291"/>
      <c r="C8" s="376">
        <f>+'3Vtas'!B21</f>
        <v>14059000000</v>
      </c>
      <c r="D8" s="376">
        <f>+'3Vtas'!C21</f>
        <v>14059000000</v>
      </c>
      <c r="E8" s="377">
        <f t="shared" si="0"/>
        <v>28118000000</v>
      </c>
      <c r="F8" s="42"/>
    </row>
    <row r="9" spans="1:6" ht="15.6" x14ac:dyDescent="0.3">
      <c r="A9" s="1494" t="s">
        <v>329</v>
      </c>
      <c r="B9" s="1291"/>
      <c r="C9" s="376">
        <f>+'3Vtas'!B22</f>
        <v>28072200000</v>
      </c>
      <c r="D9" s="376">
        <f>+'3Vtas'!C22</f>
        <v>15611400000</v>
      </c>
      <c r="E9" s="377">
        <f t="shared" si="0"/>
        <v>43683600000</v>
      </c>
      <c r="F9" s="42"/>
    </row>
    <row r="10" spans="1:6" ht="15.6" x14ac:dyDescent="0.3">
      <c r="A10" s="1494" t="s">
        <v>389</v>
      </c>
      <c r="B10" s="1291"/>
      <c r="C10" s="376">
        <f>+'3Vtas'!B23</f>
        <v>92907000000</v>
      </c>
      <c r="D10" s="376">
        <f>+'3Vtas'!C23</f>
        <v>37618500000</v>
      </c>
      <c r="E10" s="377">
        <f t="shared" si="0"/>
        <v>130525500000</v>
      </c>
      <c r="F10" s="42"/>
    </row>
    <row r="11" spans="1:6" ht="15.6" x14ac:dyDescent="0.3">
      <c r="A11" s="1499" t="s">
        <v>328</v>
      </c>
      <c r="B11" s="1500"/>
      <c r="C11" s="376">
        <f>+'3Vtas'!B25</f>
        <v>0</v>
      </c>
      <c r="D11" s="376">
        <f>+'3Vtas'!C25</f>
        <v>110742300000</v>
      </c>
      <c r="E11" s="377">
        <f t="shared" si="0"/>
        <v>110742300000</v>
      </c>
      <c r="F11" s="42"/>
    </row>
    <row r="12" spans="1:6" ht="8.1" customHeight="1" thickBot="1" x14ac:dyDescent="0.35">
      <c r="A12" s="1216"/>
      <c r="B12" s="1498"/>
      <c r="C12" s="1498"/>
      <c r="D12" s="1498"/>
      <c r="E12" s="1217"/>
      <c r="F12" s="42"/>
    </row>
    <row r="13" spans="1:6" ht="18" thickTop="1" x14ac:dyDescent="0.3">
      <c r="A13" s="1454" t="s">
        <v>227</v>
      </c>
      <c r="B13" s="1455"/>
      <c r="C13" s="1455"/>
      <c r="D13" s="1455"/>
      <c r="E13" s="1456"/>
      <c r="F13" s="42"/>
    </row>
    <row r="14" spans="1:6" s="47" customFormat="1" ht="21" x14ac:dyDescent="0.4">
      <c r="A14" s="1092">
        <f>+(A18+A19+A20+A21+A22+A23+A24)/7</f>
        <v>0.15142857142857144</v>
      </c>
      <c r="B14" s="912" t="s">
        <v>484</v>
      </c>
      <c r="C14" s="919" t="s">
        <v>337</v>
      </c>
      <c r="D14" s="919" t="s">
        <v>338</v>
      </c>
      <c r="E14" s="915" t="s">
        <v>33</v>
      </c>
      <c r="F14" s="42"/>
    </row>
    <row r="15" spans="1:6" ht="15.6" x14ac:dyDescent="0.3">
      <c r="A15" s="1490" t="s">
        <v>2</v>
      </c>
      <c r="B15" s="1491"/>
      <c r="C15" s="921">
        <f>SUM(C18:C24)</f>
        <v>35993940000</v>
      </c>
      <c r="D15" s="924">
        <f>SUM(D18:D24)</f>
        <v>41891658000</v>
      </c>
      <c r="E15" s="917">
        <f>SUM(E18:E24)</f>
        <v>77885598000</v>
      </c>
      <c r="F15" s="42"/>
    </row>
    <row r="16" spans="1:6" ht="16.2" thickBot="1" x14ac:dyDescent="0.35">
      <c r="A16" s="1492" t="s">
        <v>448</v>
      </c>
      <c r="B16" s="1493"/>
      <c r="C16" s="922">
        <f>+C15/E15</f>
        <v>0.46213858433750488</v>
      </c>
      <c r="D16" s="922">
        <f>+D15/E15</f>
        <v>0.53786141566249512</v>
      </c>
      <c r="E16" s="918">
        <f>+E4/E4</f>
        <v>1</v>
      </c>
      <c r="F16" s="42"/>
    </row>
    <row r="17" spans="1:6" ht="16.2" thickTop="1" x14ac:dyDescent="0.3">
      <c r="A17" s="911" t="s">
        <v>5</v>
      </c>
      <c r="B17" s="912" t="s">
        <v>86</v>
      </c>
      <c r="C17" s="919" t="s">
        <v>337</v>
      </c>
      <c r="D17" s="919" t="s">
        <v>338</v>
      </c>
      <c r="E17" s="915" t="s">
        <v>33</v>
      </c>
      <c r="F17" s="42"/>
    </row>
    <row r="18" spans="1:6" s="47" customFormat="1" ht="15.6" x14ac:dyDescent="0.3">
      <c r="A18" s="926">
        <v>0.12</v>
      </c>
      <c r="B18" s="913" t="s">
        <v>326</v>
      </c>
      <c r="C18" s="920">
        <f t="shared" ref="C18:C24" si="1">+C5*A18</f>
        <v>9072000000</v>
      </c>
      <c r="D18" s="923">
        <f t="shared" ref="D18:D24" si="2">+D5*A18</f>
        <v>9072000000</v>
      </c>
      <c r="E18" s="916">
        <f>+C18+D18</f>
        <v>18144000000</v>
      </c>
      <c r="F18" s="42"/>
    </row>
    <row r="19" spans="1:6" s="47" customFormat="1" ht="15.6" x14ac:dyDescent="0.3">
      <c r="A19" s="926">
        <v>0.15</v>
      </c>
      <c r="B19" s="913" t="s">
        <v>327</v>
      </c>
      <c r="C19" s="920">
        <f t="shared" si="1"/>
        <v>3379200000</v>
      </c>
      <c r="D19" s="923">
        <f t="shared" si="2"/>
        <v>3379200000</v>
      </c>
      <c r="E19" s="916">
        <f t="shared" ref="E19:E24" si="3">+C19+D19</f>
        <v>6758400000</v>
      </c>
      <c r="F19" s="42"/>
    </row>
    <row r="20" spans="1:6" ht="15.6" x14ac:dyDescent="0.3">
      <c r="A20" s="926">
        <v>0.15</v>
      </c>
      <c r="B20" s="914" t="s">
        <v>387</v>
      </c>
      <c r="C20" s="920">
        <f t="shared" si="1"/>
        <v>499800000</v>
      </c>
      <c r="D20" s="923">
        <f t="shared" si="2"/>
        <v>499800000</v>
      </c>
      <c r="E20" s="916">
        <f t="shared" si="3"/>
        <v>999600000</v>
      </c>
      <c r="F20" s="42"/>
    </row>
    <row r="21" spans="1:6" ht="15.6" x14ac:dyDescent="0.3">
      <c r="A21" s="926">
        <v>0.15</v>
      </c>
      <c r="B21" s="914" t="s">
        <v>388</v>
      </c>
      <c r="C21" s="920">
        <f t="shared" si="1"/>
        <v>2108850000</v>
      </c>
      <c r="D21" s="923">
        <f t="shared" si="2"/>
        <v>2108850000</v>
      </c>
      <c r="E21" s="916">
        <f t="shared" si="3"/>
        <v>4217700000</v>
      </c>
      <c r="F21" s="42"/>
    </row>
    <row r="22" spans="1:6" ht="15.6" x14ac:dyDescent="0.3">
      <c r="A22" s="926">
        <v>0.15</v>
      </c>
      <c r="B22" s="914" t="s">
        <v>329</v>
      </c>
      <c r="C22" s="920">
        <f t="shared" si="1"/>
        <v>4210830000</v>
      </c>
      <c r="D22" s="923">
        <f t="shared" si="2"/>
        <v>2341710000</v>
      </c>
      <c r="E22" s="916">
        <f t="shared" si="3"/>
        <v>6552540000</v>
      </c>
      <c r="F22" s="42"/>
    </row>
    <row r="23" spans="1:6" ht="15.6" x14ac:dyDescent="0.3">
      <c r="A23" s="926">
        <v>0.18</v>
      </c>
      <c r="B23" s="914" t="s">
        <v>389</v>
      </c>
      <c r="C23" s="920">
        <f t="shared" si="1"/>
        <v>16723260000</v>
      </c>
      <c r="D23" s="923">
        <f t="shared" si="2"/>
        <v>6771330000</v>
      </c>
      <c r="E23" s="916">
        <f t="shared" si="3"/>
        <v>23494590000</v>
      </c>
      <c r="F23" s="42"/>
    </row>
    <row r="24" spans="1:6" ht="15.6" x14ac:dyDescent="0.3">
      <c r="A24" s="926">
        <v>0.16</v>
      </c>
      <c r="B24" s="914" t="s">
        <v>328</v>
      </c>
      <c r="C24" s="920">
        <f t="shared" si="1"/>
        <v>0</v>
      </c>
      <c r="D24" s="923">
        <f t="shared" si="2"/>
        <v>17718768000</v>
      </c>
      <c r="E24" s="916">
        <f t="shared" si="3"/>
        <v>17718768000</v>
      </c>
      <c r="F24" s="42"/>
    </row>
    <row r="25" spans="1:6" ht="15.6" x14ac:dyDescent="0.3">
      <c r="A25" s="42"/>
      <c r="B25" s="42"/>
      <c r="C25" s="42"/>
      <c r="D25" s="42"/>
      <c r="E25" s="42"/>
      <c r="F25" s="42"/>
    </row>
    <row r="26" spans="1:6" ht="15.6" x14ac:dyDescent="0.3">
      <c r="A26" s="42"/>
      <c r="B26" s="42"/>
      <c r="C26" s="42"/>
      <c r="D26" s="42"/>
      <c r="E26" s="42"/>
      <c r="F26" s="42"/>
    </row>
    <row r="27" spans="1:6" ht="15.6" x14ac:dyDescent="0.3">
      <c r="A27" s="42"/>
      <c r="B27" s="42"/>
      <c r="C27" s="42"/>
      <c r="D27" s="42"/>
      <c r="E27" s="42"/>
      <c r="F27" s="42"/>
    </row>
    <row r="28" spans="1:6" ht="15.6" x14ac:dyDescent="0.3">
      <c r="A28" s="42"/>
      <c r="B28" s="42"/>
      <c r="C28" s="42"/>
      <c r="D28" s="42"/>
      <c r="E28" s="42"/>
      <c r="F28" s="42"/>
    </row>
    <row r="29" spans="1:6" ht="15.6" x14ac:dyDescent="0.3">
      <c r="A29" s="42"/>
      <c r="B29" s="42"/>
      <c r="C29" s="42"/>
      <c r="D29" s="42"/>
      <c r="E29" s="42"/>
      <c r="F29" s="42"/>
    </row>
    <row r="30" spans="1:6" ht="15.6" x14ac:dyDescent="0.3">
      <c r="A30" s="42"/>
      <c r="B30" s="42"/>
      <c r="C30" s="42"/>
      <c r="D30" s="42"/>
      <c r="E30" s="42"/>
      <c r="F30" s="42"/>
    </row>
    <row r="31" spans="1:6" ht="15.6" x14ac:dyDescent="0.3">
      <c r="A31" s="42"/>
      <c r="B31" s="42"/>
      <c r="C31" s="42"/>
      <c r="D31" s="42"/>
      <c r="E31" s="42"/>
      <c r="F31" s="42"/>
    </row>
    <row r="32" spans="1:6" ht="15.6" x14ac:dyDescent="0.3">
      <c r="A32" s="42"/>
      <c r="B32" s="42"/>
      <c r="C32" s="42"/>
      <c r="D32" s="42"/>
      <c r="E32" s="42"/>
    </row>
  </sheetData>
  <sheetProtection algorithmName="SHA-512" hashValue="kVvtr8CoX4jan2b6NkjXi1hAtAafTrrkjA+TWvo1QbLL9Xsm6rat/nRlHGOirLKSTy+Gy1c5DRWZZPaLp+ekIQ==" saltValue="1qi5iLvN2wVxaxipuLeTgw==" spinCount="100000" sheet="1" objects="1" scenarios="1" selectLockedCells="1" selectUnlockedCells="1"/>
  <mergeCells count="15">
    <mergeCell ref="A15:B15"/>
    <mergeCell ref="A16:B16"/>
    <mergeCell ref="A13:E13"/>
    <mergeCell ref="A8:B8"/>
    <mergeCell ref="A1:E1"/>
    <mergeCell ref="A2:E2"/>
    <mergeCell ref="A3:B3"/>
    <mergeCell ref="A4:B4"/>
    <mergeCell ref="A12:E12"/>
    <mergeCell ref="A5:B5"/>
    <mergeCell ref="A6:B6"/>
    <mergeCell ref="A7:B7"/>
    <mergeCell ref="A10:B10"/>
    <mergeCell ref="A11:B11"/>
    <mergeCell ref="A9:B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28"/>
  <sheetViews>
    <sheetView tabSelected="1" zoomScaleNormal="100" workbookViewId="0">
      <selection activeCell="H11" sqref="H11"/>
    </sheetView>
  </sheetViews>
  <sheetFormatPr baseColWidth="10" defaultRowHeight="14.4" x14ac:dyDescent="0.3"/>
  <cols>
    <col min="1" max="1" width="3.33203125" style="29" bestFit="1" customWidth="1"/>
    <col min="2" max="2" width="48.33203125" customWidth="1"/>
    <col min="3" max="3" width="17.88671875" style="47" customWidth="1"/>
    <col min="4" max="4" width="21" bestFit="1" customWidth="1"/>
    <col min="5" max="5" width="7.44140625" bestFit="1" customWidth="1"/>
    <col min="6" max="6" width="5.6640625" bestFit="1" customWidth="1"/>
    <col min="7" max="7" width="13.5546875" bestFit="1" customWidth="1"/>
    <col min="8" max="8" width="12.44140625" bestFit="1" customWidth="1"/>
  </cols>
  <sheetData>
    <row r="1" spans="1:5" ht="18" thickTop="1" x14ac:dyDescent="0.3">
      <c r="A1" s="1454" t="s">
        <v>36</v>
      </c>
      <c r="B1" s="1455"/>
      <c r="C1" s="1455"/>
      <c r="D1" s="1455"/>
      <c r="E1" s="1456"/>
    </row>
    <row r="2" spans="1:5" ht="8.1" customHeight="1" thickBot="1" x14ac:dyDescent="0.35">
      <c r="A2" s="1507"/>
      <c r="B2" s="1508"/>
      <c r="C2" s="1508"/>
      <c r="D2" s="1508"/>
      <c r="E2" s="1509"/>
    </row>
    <row r="3" spans="1:5" ht="15.6" x14ac:dyDescent="0.3">
      <c r="A3" s="1501" t="s">
        <v>228</v>
      </c>
      <c r="B3" s="1502"/>
      <c r="C3" s="1502"/>
      <c r="D3" s="942">
        <f>+D4+D5</f>
        <v>520525400000</v>
      </c>
      <c r="E3" s="949">
        <f>+D3/D$3</f>
        <v>1</v>
      </c>
    </row>
    <row r="4" spans="1:5" x14ac:dyDescent="0.3">
      <c r="A4" s="498">
        <v>1</v>
      </c>
      <c r="B4" s="1503" t="s">
        <v>230</v>
      </c>
      <c r="C4" s="1503"/>
      <c r="D4" s="505">
        <f>+'3Vtas'!D13</f>
        <v>515989400000</v>
      </c>
      <c r="E4" s="507">
        <f t="shared" ref="E4:E16" si="0">+D4/D$3</f>
        <v>0.99128572784344438</v>
      </c>
    </row>
    <row r="5" spans="1:5" ht="15" thickBot="1" x14ac:dyDescent="0.35">
      <c r="A5" s="511">
        <v>2</v>
      </c>
      <c r="B5" s="1504" t="s">
        <v>257</v>
      </c>
      <c r="C5" s="1504"/>
      <c r="D5" s="512">
        <f>+'3Vtas'!D17*3%</f>
        <v>4536000000</v>
      </c>
      <c r="E5" s="513">
        <f t="shared" si="0"/>
        <v>8.7142721565556646E-3</v>
      </c>
    </row>
    <row r="6" spans="1:5" ht="15.6" x14ac:dyDescent="0.3">
      <c r="A6" s="1505" t="s">
        <v>229</v>
      </c>
      <c r="B6" s="1506"/>
      <c r="C6" s="1506"/>
      <c r="D6" s="950">
        <f>+D7+D8+D9+D10+D11</f>
        <v>389496314514.20001</v>
      </c>
      <c r="E6" s="951">
        <f t="shared" si="0"/>
        <v>0.7482753281860981</v>
      </c>
    </row>
    <row r="7" spans="1:5" x14ac:dyDescent="0.3">
      <c r="A7" s="498">
        <v>3</v>
      </c>
      <c r="B7" s="1503" t="s">
        <v>235</v>
      </c>
      <c r="C7" s="1503"/>
      <c r="D7" s="505">
        <f>+'4Cd'!D50</f>
        <v>187552233200</v>
      </c>
      <c r="E7" s="507">
        <f t="shared" si="0"/>
        <v>0.36031331650674492</v>
      </c>
    </row>
    <row r="8" spans="1:5" x14ac:dyDescent="0.3">
      <c r="A8" s="498">
        <v>4</v>
      </c>
      <c r="B8" s="1503" t="s">
        <v>240</v>
      </c>
      <c r="C8" s="1503"/>
      <c r="D8" s="505">
        <f>+'6Ci'!E18</f>
        <v>105777827000</v>
      </c>
      <c r="E8" s="507">
        <f>+D8/D$4</f>
        <v>0.20499999999999999</v>
      </c>
    </row>
    <row r="9" spans="1:5" x14ac:dyDescent="0.3">
      <c r="A9" s="498">
        <v>5</v>
      </c>
      <c r="B9" s="1503" t="s">
        <v>233</v>
      </c>
      <c r="C9" s="1503"/>
      <c r="D9" s="505">
        <f>+'05Carg'!D33</f>
        <v>14810940000</v>
      </c>
      <c r="E9" s="507">
        <f t="shared" si="0"/>
        <v>2.8453827613407531E-2</v>
      </c>
    </row>
    <row r="10" spans="1:5" x14ac:dyDescent="0.3">
      <c r="A10" s="498">
        <v>6</v>
      </c>
      <c r="B10" s="1503" t="s">
        <v>234</v>
      </c>
      <c r="C10" s="1503"/>
      <c r="D10" s="505">
        <f>+'05Carg'!D38</f>
        <v>3469716314.1999998</v>
      </c>
      <c r="E10" s="507">
        <f t="shared" si="0"/>
        <v>6.6657963553747807E-3</v>
      </c>
    </row>
    <row r="11" spans="1:5" ht="15" thickBot="1" x14ac:dyDescent="0.35">
      <c r="A11" s="508">
        <v>7</v>
      </c>
      <c r="B11" s="1514" t="s">
        <v>231</v>
      </c>
      <c r="C11" s="1514"/>
      <c r="D11" s="509">
        <f>+'7Util'!E15</f>
        <v>77885598000</v>
      </c>
      <c r="E11" s="510">
        <f t="shared" si="0"/>
        <v>0.1496288135026648</v>
      </c>
    </row>
    <row r="12" spans="1:5" ht="15.6" x14ac:dyDescent="0.3">
      <c r="A12" s="1501" t="s">
        <v>22</v>
      </c>
      <c r="B12" s="1502"/>
      <c r="C12" s="1502"/>
      <c r="D12" s="942">
        <f>+D3-D6</f>
        <v>131029085485.79999</v>
      </c>
      <c r="E12" s="949">
        <f t="shared" si="0"/>
        <v>0.25172467181390185</v>
      </c>
    </row>
    <row r="13" spans="1:5" ht="15" thickBot="1" x14ac:dyDescent="0.35">
      <c r="A13" s="511">
        <v>8</v>
      </c>
      <c r="B13" s="1504" t="s">
        <v>236</v>
      </c>
      <c r="C13" s="1504"/>
      <c r="D13" s="512">
        <f>+'05Carg'!D28</f>
        <v>16138953097.787848</v>
      </c>
      <c r="E13" s="514">
        <f t="shared" si="0"/>
        <v>3.10051211675508E-2</v>
      </c>
    </row>
    <row r="14" spans="1:5" ht="15.6" x14ac:dyDescent="0.3">
      <c r="A14" s="1505" t="s">
        <v>237</v>
      </c>
      <c r="B14" s="1506"/>
      <c r="C14" s="1506"/>
      <c r="D14" s="952">
        <f>+D12-D13</f>
        <v>114890132388.01215</v>
      </c>
      <c r="E14" s="951">
        <f t="shared" si="0"/>
        <v>0.22071955064635107</v>
      </c>
    </row>
    <row r="15" spans="1:5" x14ac:dyDescent="0.3">
      <c r="A15" s="498">
        <v>9</v>
      </c>
      <c r="B15" s="1503" t="s">
        <v>238</v>
      </c>
      <c r="C15" s="1503"/>
      <c r="D15" s="506">
        <f>+VrSlo!F12</f>
        <v>41338687615.5</v>
      </c>
      <c r="E15" s="507">
        <f t="shared" si="0"/>
        <v>7.9417234231989445E-2</v>
      </c>
    </row>
    <row r="16" spans="1:5" ht="15" thickBot="1" x14ac:dyDescent="0.35">
      <c r="A16" s="511">
        <v>10</v>
      </c>
      <c r="B16" s="1504" t="s">
        <v>239</v>
      </c>
      <c r="C16" s="1504"/>
      <c r="D16" s="512">
        <f>+D14-D15</f>
        <v>73551444772.512146</v>
      </c>
      <c r="E16" s="514">
        <f t="shared" si="0"/>
        <v>0.14130231641436161</v>
      </c>
    </row>
    <row r="17" spans="1:8" ht="8.1" customHeight="1" thickBot="1" x14ac:dyDescent="0.35">
      <c r="A17" s="1515"/>
      <c r="B17" s="1516"/>
      <c r="C17" s="1516"/>
      <c r="D17" s="1516"/>
      <c r="E17" s="1517"/>
    </row>
    <row r="18" spans="1:8" ht="17.399999999999999" x14ac:dyDescent="0.3">
      <c r="A18" s="1510" t="s">
        <v>243</v>
      </c>
      <c r="B18" s="1204"/>
      <c r="C18" s="1204"/>
      <c r="D18" s="1204"/>
      <c r="E18" s="1511"/>
    </row>
    <row r="19" spans="1:8" x14ac:dyDescent="0.3">
      <c r="A19" s="1512" t="s">
        <v>4</v>
      </c>
      <c r="B19" s="1513"/>
      <c r="C19" s="623" t="s">
        <v>242</v>
      </c>
      <c r="D19" s="624" t="s">
        <v>88</v>
      </c>
      <c r="E19" s="625" t="s">
        <v>5</v>
      </c>
    </row>
    <row r="20" spans="1:8" x14ac:dyDescent="0.3">
      <c r="A20" s="498">
        <v>1</v>
      </c>
      <c r="B20" s="500" t="s">
        <v>37</v>
      </c>
      <c r="C20" s="499">
        <f>+VrSlo!E12</f>
        <v>2133714.3042110447</v>
      </c>
      <c r="D20" s="505">
        <f>+D15</f>
        <v>41338687615.5</v>
      </c>
      <c r="E20" s="621">
        <v>1</v>
      </c>
      <c r="F20" s="40"/>
      <c r="G20" s="40"/>
    </row>
    <row r="21" spans="1:8" x14ac:dyDescent="0.3">
      <c r="A21" s="498">
        <v>2</v>
      </c>
      <c r="B21" s="500" t="s">
        <v>241</v>
      </c>
      <c r="C21" s="501">
        <f>+D14/PartSloPyP!C30</f>
        <v>5930104.0509347366</v>
      </c>
      <c r="D21" s="619">
        <f>+D14</f>
        <v>114890132388.01215</v>
      </c>
      <c r="E21" s="621">
        <f>+D21/D20</f>
        <v>2.7792399569292066</v>
      </c>
      <c r="F21" s="50"/>
      <c r="G21" s="13"/>
      <c r="H21" s="48"/>
    </row>
    <row r="22" spans="1:8" ht="15" thickBot="1" x14ac:dyDescent="0.35">
      <c r="A22" s="502">
        <v>3</v>
      </c>
      <c r="B22" s="503" t="s">
        <v>259</v>
      </c>
      <c r="C22" s="504">
        <f>+C21-C20</f>
        <v>3796389.7467236919</v>
      </c>
      <c r="D22" s="620">
        <f>+D21-D20</f>
        <v>73551444772.512146</v>
      </c>
      <c r="E22" s="622">
        <f>+E21-E20</f>
        <v>1.7792399569292066</v>
      </c>
      <c r="G22" s="13"/>
    </row>
    <row r="23" spans="1:8" ht="15" thickTop="1" x14ac:dyDescent="0.3">
      <c r="F23" s="13"/>
      <c r="G23" s="49"/>
    </row>
    <row r="24" spans="1:8" x14ac:dyDescent="0.3">
      <c r="C24" s="13"/>
      <c r="D24" s="13"/>
      <c r="E24" s="40"/>
    </row>
    <row r="25" spans="1:8" x14ac:dyDescent="0.3">
      <c r="C25" s="40"/>
      <c r="D25" s="40"/>
      <c r="E25" s="40"/>
      <c r="G25" s="13"/>
      <c r="H25" s="13"/>
    </row>
    <row r="26" spans="1:8" x14ac:dyDescent="0.3">
      <c r="C26" s="40"/>
      <c r="E26" s="52"/>
      <c r="G26" s="13"/>
      <c r="H26" s="13"/>
    </row>
    <row r="27" spans="1:8" x14ac:dyDescent="0.3">
      <c r="C27" s="40"/>
      <c r="H27" s="40"/>
    </row>
    <row r="28" spans="1:8" x14ac:dyDescent="0.3">
      <c r="C28" s="40"/>
      <c r="G28" s="51"/>
      <c r="H28" s="13"/>
    </row>
  </sheetData>
  <sheetProtection algorithmName="SHA-512" hashValue="seU61ZRCD3dkiSOF+DkivsJeIHrCInnY2XMmYOjItr6yR1uluSbqS/PDcxvzHpqrHa1bzPHu1VH7wFjDOgAksQ==" saltValue="wkoPCVy4fyooGdp4Q/W7Kg==" spinCount="100000" sheet="1" objects="1" scenarios="1" selectLockedCells="1" selectUnlockedCells="1"/>
  <mergeCells count="19">
    <mergeCell ref="A14:C14"/>
    <mergeCell ref="A2:E2"/>
    <mergeCell ref="A18:E18"/>
    <mergeCell ref="A19:B19"/>
    <mergeCell ref="B7:C7"/>
    <mergeCell ref="B8:C8"/>
    <mergeCell ref="B9:C9"/>
    <mergeCell ref="B15:C15"/>
    <mergeCell ref="B16:C16"/>
    <mergeCell ref="B10:C10"/>
    <mergeCell ref="B11:C11"/>
    <mergeCell ref="A12:C12"/>
    <mergeCell ref="B13:C13"/>
    <mergeCell ref="A17:E17"/>
    <mergeCell ref="A1:E1"/>
    <mergeCell ref="A3:C3"/>
    <mergeCell ref="B4:C4"/>
    <mergeCell ref="B5:C5"/>
    <mergeCell ref="A6:C6"/>
  </mergeCell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28"/>
  <sheetViews>
    <sheetView zoomScaleNormal="100" workbookViewId="0">
      <selection activeCell="F24" sqref="F24"/>
    </sheetView>
  </sheetViews>
  <sheetFormatPr baseColWidth="10" defaultColWidth="11.44140625" defaultRowHeight="14.4" x14ac:dyDescent="0.3"/>
  <cols>
    <col min="1" max="1" width="3.44140625" style="29" bestFit="1" customWidth="1"/>
    <col min="2" max="2" width="64.6640625" style="47" customWidth="1"/>
    <col min="3" max="4" width="19.33203125" style="47" bestFit="1" customWidth="1"/>
    <col min="5" max="5" width="18.88671875" style="47" bestFit="1" customWidth="1"/>
    <col min="6" max="6" width="20" style="47" bestFit="1" customWidth="1"/>
    <col min="7" max="7" width="44.44140625" style="47" bestFit="1" customWidth="1"/>
    <col min="8" max="8" width="11.44140625" style="47"/>
    <col min="9" max="9" width="16.33203125" style="47" bestFit="1" customWidth="1"/>
    <col min="10" max="10" width="16.6640625" style="47" bestFit="1" customWidth="1"/>
    <col min="11" max="11" width="14.88671875" style="47" bestFit="1" customWidth="1"/>
    <col min="12" max="12" width="10.5546875" style="47" bestFit="1" customWidth="1"/>
    <col min="13" max="13" width="15" style="47" bestFit="1" customWidth="1"/>
    <col min="14" max="16384" width="11.44140625" style="47"/>
  </cols>
  <sheetData>
    <row r="1" spans="1:14" ht="18" thickTop="1" x14ac:dyDescent="0.3">
      <c r="A1" s="1454" t="s">
        <v>497</v>
      </c>
      <c r="B1" s="1455"/>
      <c r="C1" s="1455"/>
      <c r="D1" s="1455"/>
      <c r="E1" s="1456"/>
    </row>
    <row r="2" spans="1:14" ht="8.1" customHeight="1" x14ac:dyDescent="0.3">
      <c r="A2" s="1522"/>
      <c r="B2" s="1523"/>
      <c r="C2" s="1523"/>
      <c r="D2" s="1523"/>
      <c r="E2" s="1524"/>
    </row>
    <row r="3" spans="1:14" x14ac:dyDescent="0.3">
      <c r="A3" s="1525" t="s">
        <v>86</v>
      </c>
      <c r="B3" s="1526"/>
      <c r="C3" s="963" t="s">
        <v>337</v>
      </c>
      <c r="D3" s="963" t="s">
        <v>338</v>
      </c>
      <c r="E3" s="976" t="s">
        <v>33</v>
      </c>
      <c r="H3" s="69"/>
      <c r="I3" s="69"/>
      <c r="J3" s="69"/>
      <c r="K3" s="71"/>
      <c r="L3" s="70"/>
      <c r="M3" s="69"/>
      <c r="N3" s="69"/>
    </row>
    <row r="4" spans="1:14" x14ac:dyDescent="0.3">
      <c r="A4" s="517">
        <v>1</v>
      </c>
      <c r="B4" s="953" t="s">
        <v>230</v>
      </c>
      <c r="C4" s="964">
        <f>+'3Vtas'!B13</f>
        <v>236498200000</v>
      </c>
      <c r="D4" s="964">
        <f>+'3Vtas'!C13</f>
        <v>279491200000</v>
      </c>
      <c r="E4" s="977">
        <f>+C4+D4</f>
        <v>515989400000</v>
      </c>
      <c r="F4" s="40"/>
      <c r="I4" s="13"/>
      <c r="J4" s="13"/>
      <c r="K4" s="40"/>
      <c r="L4" s="72"/>
      <c r="M4" s="72"/>
    </row>
    <row r="5" spans="1:14" ht="15" thickBot="1" x14ac:dyDescent="0.35">
      <c r="A5" s="538">
        <v>2</v>
      </c>
      <c r="B5" s="954" t="s">
        <v>245</v>
      </c>
      <c r="C5" s="1064">
        <f>+'3Vtas'!C17*3%</f>
        <v>2268000000</v>
      </c>
      <c r="D5" s="1064">
        <f>+'3Vtas'!C17*3%</f>
        <v>2268000000</v>
      </c>
      <c r="E5" s="978">
        <f>+C5+D5</f>
        <v>4536000000</v>
      </c>
    </row>
    <row r="6" spans="1:14" x14ac:dyDescent="0.3">
      <c r="A6" s="979">
        <v>3</v>
      </c>
      <c r="B6" s="955" t="s">
        <v>235</v>
      </c>
      <c r="C6" s="1063">
        <f>+'4Cd'!D18</f>
        <v>87229640000</v>
      </c>
      <c r="D6" s="1063">
        <f>+'4Cd'!D33</f>
        <v>100322593200</v>
      </c>
      <c r="E6" s="980">
        <f>+C6+D6</f>
        <v>187552233200</v>
      </c>
    </row>
    <row r="7" spans="1:14" x14ac:dyDescent="0.3">
      <c r="A7" s="517">
        <v>4</v>
      </c>
      <c r="B7" s="953" t="s">
        <v>240</v>
      </c>
      <c r="C7" s="965">
        <f>+'6Ci'!C18</f>
        <v>48482131000</v>
      </c>
      <c r="D7" s="965">
        <f>+'6Ci'!D18</f>
        <v>57295696000</v>
      </c>
      <c r="E7" s="981">
        <f>+C7+D7</f>
        <v>105777827000</v>
      </c>
    </row>
    <row r="8" spans="1:14" x14ac:dyDescent="0.3">
      <c r="A8" s="517">
        <v>5</v>
      </c>
      <c r="B8" s="953" t="s">
        <v>231</v>
      </c>
      <c r="C8" s="965">
        <f>+'7Util'!C15</f>
        <v>35993940000</v>
      </c>
      <c r="D8" s="965">
        <f>+'7Util'!D15</f>
        <v>41891658000</v>
      </c>
      <c r="E8" s="981">
        <f>+C8+D8</f>
        <v>77885598000</v>
      </c>
    </row>
    <row r="9" spans="1:14" x14ac:dyDescent="0.3">
      <c r="A9" s="628">
        <v>6</v>
      </c>
      <c r="B9" s="956" t="s">
        <v>244</v>
      </c>
      <c r="C9" s="966">
        <f>+(C4+C5)-C6-C7-C8</f>
        <v>67060489000</v>
      </c>
      <c r="D9" s="966">
        <f>+(D4+D5)-D6-D7-D8</f>
        <v>82249252800</v>
      </c>
      <c r="E9" s="982">
        <f>+E4+E5-E6-E7-E8</f>
        <v>149309741800</v>
      </c>
      <c r="F9" s="40"/>
    </row>
    <row r="10" spans="1:14" x14ac:dyDescent="0.3">
      <c r="A10" s="523">
        <v>7</v>
      </c>
      <c r="B10" s="957" t="s">
        <v>331</v>
      </c>
      <c r="C10" s="967">
        <f>+'05Carg'!B57</f>
        <v>0.45897361534353143</v>
      </c>
      <c r="D10" s="967">
        <f>+'05Carg'!C57</f>
        <v>0.54102638465646846</v>
      </c>
      <c r="E10" s="983">
        <f>+E4/E4</f>
        <v>1</v>
      </c>
      <c r="F10" s="90"/>
    </row>
    <row r="11" spans="1:14" x14ac:dyDescent="0.3">
      <c r="A11" s="517">
        <v>8</v>
      </c>
      <c r="B11" s="953" t="s">
        <v>236</v>
      </c>
      <c r="C11" s="968">
        <f>+C10*E11</f>
        <v>7407353651.1513748</v>
      </c>
      <c r="D11" s="968">
        <f>+D10*E11</f>
        <v>8731599446.6364708</v>
      </c>
      <c r="E11" s="984">
        <f>+'8Bal'!D13</f>
        <v>16138953097.787848</v>
      </c>
      <c r="F11" s="14"/>
    </row>
    <row r="12" spans="1:14" x14ac:dyDescent="0.3">
      <c r="A12" s="517">
        <v>9</v>
      </c>
      <c r="B12" s="953" t="s">
        <v>233</v>
      </c>
      <c r="C12" s="968">
        <f>+C10*E12</f>
        <v>6797830678.4361229</v>
      </c>
      <c r="D12" s="968">
        <f>+D10*E12</f>
        <v>8013109321.5638752</v>
      </c>
      <c r="E12" s="984">
        <f>+'8Bal'!D9</f>
        <v>14810940000</v>
      </c>
      <c r="F12" s="40"/>
    </row>
    <row r="13" spans="1:14" x14ac:dyDescent="0.3">
      <c r="A13" s="517">
        <v>10</v>
      </c>
      <c r="B13" s="953" t="s">
        <v>234</v>
      </c>
      <c r="C13" s="968">
        <f>+C10*E13</f>
        <v>1592508240.9448063</v>
      </c>
      <c r="D13" s="968">
        <f>+D10*E13</f>
        <v>1877208073.255193</v>
      </c>
      <c r="E13" s="984">
        <f>+'8Bal'!D10</f>
        <v>3469716314.1999998</v>
      </c>
      <c r="F13" s="40"/>
    </row>
    <row r="14" spans="1:14" ht="15" thickBot="1" x14ac:dyDescent="0.35">
      <c r="A14" s="629">
        <v>11</v>
      </c>
      <c r="B14" s="958" t="s">
        <v>406</v>
      </c>
      <c r="C14" s="966">
        <f>+C9-C11-C12-C13</f>
        <v>51262796429.467697</v>
      </c>
      <c r="D14" s="966">
        <f>+D9-D11-D12-D13</f>
        <v>63627335958.544456</v>
      </c>
      <c r="E14" s="985">
        <f>+C14+D14</f>
        <v>114890132388.01215</v>
      </c>
      <c r="F14" s="13"/>
    </row>
    <row r="15" spans="1:14" x14ac:dyDescent="0.3">
      <c r="A15" s="536">
        <v>12</v>
      </c>
      <c r="B15" s="959" t="s">
        <v>401</v>
      </c>
      <c r="C15" s="969">
        <f>+SloPri!H13</f>
        <v>8655.44</v>
      </c>
      <c r="D15" s="969">
        <f>+SloPri!K13</f>
        <v>10718.61</v>
      </c>
      <c r="E15" s="986">
        <f>+C15+D15</f>
        <v>19374.050000000003</v>
      </c>
    </row>
    <row r="16" spans="1:14" ht="15" thickBot="1" x14ac:dyDescent="0.35">
      <c r="A16" s="538">
        <v>13</v>
      </c>
      <c r="B16" s="960" t="s">
        <v>408</v>
      </c>
      <c r="C16" s="970">
        <f>+C14/C15</f>
        <v>5922610.1075702328</v>
      </c>
      <c r="D16" s="970">
        <f>+D14/D15</f>
        <v>5936155.5237614252</v>
      </c>
      <c r="E16" s="987">
        <f>+E14/E15</f>
        <v>5930104.0509347366</v>
      </c>
    </row>
    <row r="17" spans="1:6" x14ac:dyDescent="0.3">
      <c r="A17" s="544">
        <v>14</v>
      </c>
      <c r="B17" s="961" t="s">
        <v>409</v>
      </c>
      <c r="C17" s="971">
        <f>+E16</f>
        <v>5930104.0509347366</v>
      </c>
      <c r="D17" s="974">
        <f>+E16</f>
        <v>5930104.0509347366</v>
      </c>
      <c r="E17" s="988">
        <f>+E16</f>
        <v>5930104.0509347366</v>
      </c>
    </row>
    <row r="18" spans="1:6" ht="15" thickBot="1" x14ac:dyDescent="0.35">
      <c r="A18" s="546">
        <v>15</v>
      </c>
      <c r="B18" s="962" t="s">
        <v>410</v>
      </c>
      <c r="C18" s="972">
        <f>+C15*C17</f>
        <v>51327659806.622559</v>
      </c>
      <c r="D18" s="972">
        <f>+D15*D17</f>
        <v>63562472581.38958</v>
      </c>
      <c r="E18" s="989">
        <f>+C18+D18</f>
        <v>114890132388.01215</v>
      </c>
      <c r="F18" s="21"/>
    </row>
    <row r="19" spans="1:6" x14ac:dyDescent="0.3">
      <c r="A19" s="1518">
        <v>16</v>
      </c>
      <c r="B19" s="1520" t="s">
        <v>450</v>
      </c>
      <c r="C19" s="973">
        <f>+C14-C18</f>
        <v>-64863377.15486145</v>
      </c>
      <c r="D19" s="975">
        <f>+D14-D18</f>
        <v>64863377.154876709</v>
      </c>
      <c r="E19" s="990">
        <f>+C19+D19</f>
        <v>1.52587890625E-5</v>
      </c>
    </row>
    <row r="20" spans="1:6" ht="15" thickBot="1" x14ac:dyDescent="0.35">
      <c r="A20" s="1519"/>
      <c r="B20" s="1521"/>
      <c r="C20" s="991" t="s">
        <v>312</v>
      </c>
      <c r="D20" s="992" t="s">
        <v>313</v>
      </c>
      <c r="E20" s="993" t="s">
        <v>323</v>
      </c>
    </row>
    <row r="21" spans="1:6" ht="15" thickTop="1" x14ac:dyDescent="0.3">
      <c r="C21" s="40"/>
      <c r="D21" s="40"/>
    </row>
    <row r="22" spans="1:6" x14ac:dyDescent="0.3">
      <c r="C22" s="14"/>
      <c r="D22" s="14"/>
    </row>
    <row r="23" spans="1:6" x14ac:dyDescent="0.3">
      <c r="C23" s="75"/>
      <c r="D23" s="75"/>
      <c r="E23" s="40"/>
    </row>
    <row r="24" spans="1:6" x14ac:dyDescent="0.3">
      <c r="C24" s="483"/>
      <c r="D24" s="31"/>
    </row>
    <row r="27" spans="1:6" x14ac:dyDescent="0.3">
      <c r="C27" s="13"/>
      <c r="D27" s="13"/>
      <c r="E27" s="13"/>
    </row>
    <row r="28" spans="1:6" x14ac:dyDescent="0.3">
      <c r="C28" s="31"/>
      <c r="D28" s="31"/>
    </row>
  </sheetData>
  <sheetProtection algorithmName="SHA-512" hashValue="nzcAZO2XwNBI6siWMmo6sUlw+Mx3GieWysrDY/ilSpUSW3GcWUXBgX4GeNPq2iGBBTkh1vbFLsmELpmvKsHBVA==" saltValue="v76xCOupCmz39qRuOeuGuA==" spinCount="100000" sheet="1" objects="1" scenarios="1" selectLockedCells="1" selectUnlockedCells="1"/>
  <mergeCells count="5">
    <mergeCell ref="A19:A20"/>
    <mergeCell ref="B19:B20"/>
    <mergeCell ref="A1:E1"/>
    <mergeCell ref="A2:E2"/>
    <mergeCell ref="A3:B3"/>
  </mergeCells>
  <pageMargins left="0.70866141732283472" right="0.70866141732283472" top="0.74803149606299213" bottom="0.74803149606299213" header="0.31496062992125984" footer="0.31496062992125984"/>
  <pageSetup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28"/>
  <sheetViews>
    <sheetView zoomScaleNormal="100" workbookViewId="0">
      <selection activeCell="F21" sqref="F21"/>
    </sheetView>
  </sheetViews>
  <sheetFormatPr baseColWidth="10" defaultRowHeight="14.4" x14ac:dyDescent="0.3"/>
  <cols>
    <col min="1" max="1" width="3.33203125" style="29" bestFit="1" customWidth="1"/>
    <col min="2" max="2" width="64.109375" customWidth="1"/>
    <col min="3" max="4" width="19.33203125" bestFit="1" customWidth="1"/>
    <col min="5" max="5" width="18.88671875" bestFit="1" customWidth="1"/>
    <col min="6" max="6" width="20" bestFit="1" customWidth="1"/>
    <col min="7" max="7" width="44.44140625" bestFit="1" customWidth="1"/>
    <col min="9" max="9" width="16.33203125" bestFit="1" customWidth="1"/>
    <col min="10" max="10" width="16.6640625" bestFit="1" customWidth="1"/>
    <col min="11" max="11" width="14.88671875" bestFit="1" customWidth="1"/>
    <col min="12" max="12" width="10.5546875" bestFit="1" customWidth="1"/>
    <col min="13" max="13" width="15" bestFit="1" customWidth="1"/>
  </cols>
  <sheetData>
    <row r="1" spans="1:14" ht="18" thickTop="1" x14ac:dyDescent="0.3">
      <c r="A1" s="1454" t="s">
        <v>272</v>
      </c>
      <c r="B1" s="1455"/>
      <c r="C1" s="1455"/>
      <c r="D1" s="1455"/>
      <c r="E1" s="1456"/>
    </row>
    <row r="2" spans="1:14" ht="8.1" customHeight="1" x14ac:dyDescent="0.3">
      <c r="A2" s="1522"/>
      <c r="B2" s="1523"/>
      <c r="C2" s="1523"/>
      <c r="D2" s="1523"/>
      <c r="E2" s="1524"/>
    </row>
    <row r="3" spans="1:14" x14ac:dyDescent="0.3">
      <c r="A3" s="1525" t="s">
        <v>86</v>
      </c>
      <c r="B3" s="1529"/>
      <c r="C3" s="515" t="s">
        <v>50</v>
      </c>
      <c r="D3" s="515" t="s">
        <v>51</v>
      </c>
      <c r="E3" s="516" t="s">
        <v>33</v>
      </c>
      <c r="H3" s="69"/>
      <c r="I3" s="69"/>
      <c r="J3" s="69"/>
      <c r="K3" s="71"/>
      <c r="L3" s="70"/>
      <c r="M3" s="69"/>
      <c r="N3" s="69"/>
    </row>
    <row r="4" spans="1:14" x14ac:dyDescent="0.3">
      <c r="A4" s="517">
        <v>1</v>
      </c>
      <c r="B4" s="518" t="s">
        <v>230</v>
      </c>
      <c r="C4" s="526">
        <f>+'3Vtas'!B13</f>
        <v>236498200000</v>
      </c>
      <c r="D4" s="526">
        <f>+'3Vtas'!C13</f>
        <v>279491200000</v>
      </c>
      <c r="E4" s="527">
        <f>+C4+D4</f>
        <v>515989400000</v>
      </c>
      <c r="I4" s="13"/>
      <c r="J4" s="13"/>
      <c r="K4" s="40"/>
      <c r="L4" s="72"/>
      <c r="M4" s="72"/>
    </row>
    <row r="5" spans="1:14" x14ac:dyDescent="0.3">
      <c r="A5" s="517">
        <v>2</v>
      </c>
      <c r="B5" s="518" t="s">
        <v>245</v>
      </c>
      <c r="C5" s="519">
        <f>+'3Vtas'!C17*3%</f>
        <v>2268000000</v>
      </c>
      <c r="D5" s="519">
        <f>+'3Vtas'!C17*3%</f>
        <v>2268000000</v>
      </c>
      <c r="E5" s="520">
        <f>+C5+D5</f>
        <v>4536000000</v>
      </c>
    </row>
    <row r="6" spans="1:14" x14ac:dyDescent="0.3">
      <c r="A6" s="517">
        <v>3</v>
      </c>
      <c r="B6" s="518" t="s">
        <v>235</v>
      </c>
      <c r="C6" s="519">
        <f>+'4Cd'!D18</f>
        <v>87229640000</v>
      </c>
      <c r="D6" s="519">
        <f>+'4Cd'!D33</f>
        <v>100322593200</v>
      </c>
      <c r="E6" s="520">
        <f>+C6+D6</f>
        <v>187552233200</v>
      </c>
    </row>
    <row r="7" spans="1:14" x14ac:dyDescent="0.3">
      <c r="A7" s="517">
        <v>4</v>
      </c>
      <c r="B7" s="518" t="s">
        <v>240</v>
      </c>
      <c r="C7" s="519">
        <f>+'6Ci'!C18</f>
        <v>48482131000</v>
      </c>
      <c r="D7" s="519">
        <f>+'6Ci'!D18</f>
        <v>57295696000</v>
      </c>
      <c r="E7" s="520">
        <f>+C7+D7</f>
        <v>105777827000</v>
      </c>
    </row>
    <row r="8" spans="1:14" x14ac:dyDescent="0.3">
      <c r="A8" s="517">
        <v>5</v>
      </c>
      <c r="B8" s="518" t="s">
        <v>231</v>
      </c>
      <c r="C8" s="519">
        <f>+'7Util'!C15</f>
        <v>35993940000</v>
      </c>
      <c r="D8" s="519">
        <f>+'7Util'!D15</f>
        <v>41891658000</v>
      </c>
      <c r="E8" s="520">
        <f>+C8+D8</f>
        <v>77885598000</v>
      </c>
    </row>
    <row r="9" spans="1:14" x14ac:dyDescent="0.3">
      <c r="A9" s="628">
        <v>6</v>
      </c>
      <c r="B9" s="626" t="s">
        <v>244</v>
      </c>
      <c r="C9" s="530">
        <f>+(C4+C5)-C6-C7-C8</f>
        <v>67060489000</v>
      </c>
      <c r="D9" s="530">
        <f>+(D4+D5)-D6-D7-D8</f>
        <v>82249252800</v>
      </c>
      <c r="E9" s="531">
        <f>+E4+E5-E6-E7-E8</f>
        <v>149309741800</v>
      </c>
      <c r="F9" s="40"/>
    </row>
    <row r="10" spans="1:14" x14ac:dyDescent="0.3">
      <c r="A10" s="523">
        <v>7</v>
      </c>
      <c r="B10" s="533" t="s">
        <v>246</v>
      </c>
      <c r="C10" s="528">
        <f>+C4/E4</f>
        <v>0.45833926045767609</v>
      </c>
      <c r="D10" s="528">
        <f>+D4/E4</f>
        <v>0.54166073954232397</v>
      </c>
      <c r="E10" s="529">
        <f>+E4/E4</f>
        <v>1</v>
      </c>
      <c r="F10" s="37"/>
    </row>
    <row r="11" spans="1:14" x14ac:dyDescent="0.3">
      <c r="A11" s="517">
        <v>8</v>
      </c>
      <c r="B11" s="518" t="s">
        <v>236</v>
      </c>
      <c r="C11" s="521">
        <f>+C$10*E11</f>
        <v>7397115827.4012022</v>
      </c>
      <c r="D11" s="521">
        <f>+D$10*E11</f>
        <v>8741837270.3866463</v>
      </c>
      <c r="E11" s="522">
        <f>+'8Bal'!D13</f>
        <v>16138953097.787848</v>
      </c>
    </row>
    <row r="12" spans="1:14" x14ac:dyDescent="0.3">
      <c r="A12" s="517">
        <v>9</v>
      </c>
      <c r="B12" s="518" t="s">
        <v>233</v>
      </c>
      <c r="C12" s="521">
        <f t="shared" ref="C12:C13" si="0">+C$10*E12</f>
        <v>6788435286.2830133</v>
      </c>
      <c r="D12" s="521">
        <f t="shared" ref="D12:D13" si="1">+D$10*E12</f>
        <v>8022504713.7169876</v>
      </c>
      <c r="E12" s="522">
        <f>+'8Bal'!D9</f>
        <v>14810940000</v>
      </c>
    </row>
    <row r="13" spans="1:14" x14ac:dyDescent="0.3">
      <c r="A13" s="517">
        <v>10</v>
      </c>
      <c r="B13" s="518" t="s">
        <v>234</v>
      </c>
      <c r="C13" s="521">
        <f t="shared" si="0"/>
        <v>1590307209.4483616</v>
      </c>
      <c r="D13" s="521">
        <f t="shared" si="1"/>
        <v>1879409104.7516384</v>
      </c>
      <c r="E13" s="522">
        <f>+'8Bal'!D10</f>
        <v>3469716314.1999998</v>
      </c>
    </row>
    <row r="14" spans="1:14" ht="15" thickBot="1" x14ac:dyDescent="0.35">
      <c r="A14" s="629">
        <v>11</v>
      </c>
      <c r="B14" s="627" t="s">
        <v>406</v>
      </c>
      <c r="C14" s="534">
        <f>+C9-C11-C12-C13</f>
        <v>51284630676.867424</v>
      </c>
      <c r="D14" s="534">
        <f>+D9-D11-D12-D13</f>
        <v>63605501711.14473</v>
      </c>
      <c r="E14" s="535">
        <f>+C14+D14</f>
        <v>114890132388.01215</v>
      </c>
      <c r="F14" s="13"/>
    </row>
    <row r="15" spans="1:14" x14ac:dyDescent="0.3">
      <c r="A15" s="536">
        <v>12</v>
      </c>
      <c r="B15" s="537" t="s">
        <v>401</v>
      </c>
      <c r="C15" s="550">
        <f>+PartSloPyP!E30</f>
        <v>8655.44</v>
      </c>
      <c r="D15" s="550">
        <f>+PartSloPyP!G30</f>
        <v>10718.61</v>
      </c>
      <c r="E15" s="551">
        <f>+C15+D15</f>
        <v>19374.050000000003</v>
      </c>
    </row>
    <row r="16" spans="1:14" ht="15" thickBot="1" x14ac:dyDescent="0.35">
      <c r="A16" s="538">
        <v>13</v>
      </c>
      <c r="B16" s="539" t="s">
        <v>408</v>
      </c>
      <c r="C16" s="540">
        <f>+C14/C15</f>
        <v>5925132.7115510497</v>
      </c>
      <c r="D16" s="540">
        <f>+D14/D15</f>
        <v>5934118.4828205081</v>
      </c>
      <c r="E16" s="552">
        <f>+E14/E15</f>
        <v>5930104.0509347366</v>
      </c>
    </row>
    <row r="17" spans="1:5" x14ac:dyDescent="0.3">
      <c r="A17" s="544">
        <v>14</v>
      </c>
      <c r="B17" s="545" t="s">
        <v>409</v>
      </c>
      <c r="C17" s="553">
        <f>+E16</f>
        <v>5930104.0509347366</v>
      </c>
      <c r="D17" s="554">
        <f>+E16</f>
        <v>5930104.0509347366</v>
      </c>
      <c r="E17" s="555">
        <f>+E16</f>
        <v>5930104.0509347366</v>
      </c>
    </row>
    <row r="18" spans="1:5" ht="15" thickBot="1" x14ac:dyDescent="0.35">
      <c r="A18" s="546">
        <v>15</v>
      </c>
      <c r="B18" s="547" t="s">
        <v>410</v>
      </c>
      <c r="C18" s="548">
        <f>+C15*C17</f>
        <v>51327659806.622559</v>
      </c>
      <c r="D18" s="548">
        <f>+D15*D17</f>
        <v>63562472581.38958</v>
      </c>
      <c r="E18" s="549">
        <f>+C18+D18</f>
        <v>114890132388.01215</v>
      </c>
    </row>
    <row r="19" spans="1:5" x14ac:dyDescent="0.3">
      <c r="A19" s="1518">
        <v>16</v>
      </c>
      <c r="B19" s="1527" t="s">
        <v>407</v>
      </c>
      <c r="C19" s="542">
        <f>+C14-C18</f>
        <v>-43029129.755134583</v>
      </c>
      <c r="D19" s="541">
        <f>+D14-D18</f>
        <v>43029129.755149841</v>
      </c>
      <c r="E19" s="543">
        <f>+C19+D19</f>
        <v>1.52587890625E-5</v>
      </c>
    </row>
    <row r="20" spans="1:5" ht="15" thickBot="1" x14ac:dyDescent="0.35">
      <c r="A20" s="1519"/>
      <c r="B20" s="1528"/>
      <c r="C20" s="525" t="s">
        <v>312</v>
      </c>
      <c r="D20" s="524" t="s">
        <v>313</v>
      </c>
      <c r="E20" s="532" t="s">
        <v>323</v>
      </c>
    </row>
    <row r="21" spans="1:5" ht="15" thickTop="1" x14ac:dyDescent="0.3">
      <c r="C21" s="40"/>
      <c r="D21" s="40"/>
    </row>
    <row r="22" spans="1:5" x14ac:dyDescent="0.3">
      <c r="C22" s="21"/>
      <c r="D22" s="21"/>
      <c r="E22" s="21"/>
    </row>
    <row r="23" spans="1:5" x14ac:dyDescent="0.3">
      <c r="C23" s="13"/>
      <c r="D23" s="13"/>
      <c r="E23" s="40"/>
    </row>
    <row r="24" spans="1:5" x14ac:dyDescent="0.3">
      <c r="C24" s="10"/>
      <c r="D24" s="10"/>
    </row>
    <row r="27" spans="1:5" x14ac:dyDescent="0.3">
      <c r="C27" s="13"/>
      <c r="D27" s="13"/>
      <c r="E27" s="13"/>
    </row>
    <row r="28" spans="1:5" x14ac:dyDescent="0.3">
      <c r="C28" s="31"/>
      <c r="D28" s="31"/>
    </row>
  </sheetData>
  <sheetProtection algorithmName="SHA-512" hashValue="YFfjG7T25EYsWcrJHt3JXZSV/pg0dkVlTkcTmmwhD5r2/n6TM2PRnya63ejgz2K32ZXoYKlRmR244VQl3Skcow==" saltValue="tCONDS/3kWVl5SRLwW46jA==" spinCount="100000" sheet="1" objects="1" scenarios="1" selectLockedCells="1" selectUnlockedCells="1"/>
  <mergeCells count="5">
    <mergeCell ref="A1:E1"/>
    <mergeCell ref="B19:B20"/>
    <mergeCell ref="A2:E2"/>
    <mergeCell ref="A19:A20"/>
    <mergeCell ref="A3:B3"/>
  </mergeCells>
  <pageMargins left="0.70866141732283472" right="0.70866141732283472" top="0.74803149606299213" bottom="0.74803149606299213" header="0.31496062992125984" footer="0.31496062992125984"/>
  <pageSetup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F18"/>
  <sheetViews>
    <sheetView workbookViewId="0">
      <selection activeCell="C30" sqref="C30"/>
    </sheetView>
  </sheetViews>
  <sheetFormatPr baseColWidth="10" defaultRowHeight="14.4" x14ac:dyDescent="0.3"/>
  <cols>
    <col min="1" max="1" width="4.6640625" customWidth="1"/>
    <col min="2" max="2" width="40.109375" bestFit="1" customWidth="1"/>
    <col min="3" max="3" width="16.33203125" customWidth="1"/>
    <col min="4" max="4" width="18.88671875" bestFit="1" customWidth="1"/>
  </cols>
  <sheetData>
    <row r="1" spans="1:6" ht="18" thickTop="1" x14ac:dyDescent="0.3">
      <c r="A1" s="1431" t="s">
        <v>243</v>
      </c>
      <c r="B1" s="1432"/>
      <c r="C1" s="1432"/>
      <c r="D1" s="1433"/>
    </row>
    <row r="2" spans="1:6" x14ac:dyDescent="0.3">
      <c r="A2" s="1531" t="s">
        <v>4</v>
      </c>
      <c r="B2" s="1532"/>
      <c r="C2" s="1043" t="s">
        <v>242</v>
      </c>
      <c r="D2" s="1044" t="s">
        <v>88</v>
      </c>
    </row>
    <row r="3" spans="1:6" x14ac:dyDescent="0.3">
      <c r="A3" s="1060">
        <v>1</v>
      </c>
      <c r="B3" s="1045" t="s">
        <v>37</v>
      </c>
      <c r="C3" s="1046">
        <f>+VrSlo!E12</f>
        <v>2133714.3042110447</v>
      </c>
      <c r="D3" s="1047">
        <f>+VrSlo!F12</f>
        <v>41338687615.5</v>
      </c>
    </row>
    <row r="4" spans="1:6" x14ac:dyDescent="0.3">
      <c r="A4" s="1060">
        <v>2</v>
      </c>
      <c r="B4" s="1045" t="s">
        <v>241</v>
      </c>
      <c r="C4" s="1048">
        <f>+'8Bal'!C21</f>
        <v>5930104.0509347366</v>
      </c>
      <c r="D4" s="1049">
        <f>+'8Bal'!D21</f>
        <v>114890132388.01215</v>
      </c>
    </row>
    <row r="5" spans="1:6" ht="15" thickBot="1" x14ac:dyDescent="0.35">
      <c r="A5" s="1061">
        <v>3</v>
      </c>
      <c r="B5" s="1055" t="s">
        <v>259</v>
      </c>
      <c r="C5" s="1056">
        <f>+C4-C3</f>
        <v>3796389.7467236919</v>
      </c>
      <c r="D5" s="1057">
        <f>+D4-D3</f>
        <v>73551444772.512146</v>
      </c>
    </row>
    <row r="6" spans="1:6" ht="8.1" customHeight="1" thickTop="1" thickBot="1" x14ac:dyDescent="0.35">
      <c r="A6" s="1058"/>
      <c r="B6" s="1058"/>
      <c r="C6" s="1058"/>
      <c r="D6" s="1058"/>
    </row>
    <row r="7" spans="1:6" s="47" customFormat="1" ht="18.600000000000001" thickTop="1" x14ac:dyDescent="0.3">
      <c r="A7" s="1533" t="s">
        <v>298</v>
      </c>
      <c r="B7" s="1534"/>
      <c r="C7" s="1534"/>
      <c r="D7" s="1535"/>
    </row>
    <row r="8" spans="1:6" x14ac:dyDescent="0.3">
      <c r="A8" s="1060">
        <v>1</v>
      </c>
      <c r="B8" s="1536" t="s">
        <v>241</v>
      </c>
      <c r="C8" s="1536"/>
      <c r="D8" s="1049">
        <f>+D4</f>
        <v>114890132388.01215</v>
      </c>
    </row>
    <row r="9" spans="1:6" x14ac:dyDescent="0.3">
      <c r="A9" s="1060">
        <v>2</v>
      </c>
      <c r="B9" s="1536" t="s">
        <v>471</v>
      </c>
      <c r="C9" s="1536"/>
      <c r="D9" s="1050">
        <v>289</v>
      </c>
    </row>
    <row r="10" spans="1:6" x14ac:dyDescent="0.3">
      <c r="A10" s="1060">
        <v>3</v>
      </c>
      <c r="B10" s="1536" t="s">
        <v>472</v>
      </c>
      <c r="C10" s="1536"/>
      <c r="D10" s="1051">
        <f>+D8/D9</f>
        <v>397543710.68516314</v>
      </c>
    </row>
    <row r="11" spans="1:6" ht="6" customHeight="1" x14ac:dyDescent="0.3">
      <c r="A11" s="1537"/>
      <c r="B11" s="1538"/>
      <c r="C11" s="1538"/>
      <c r="D11" s="1539"/>
    </row>
    <row r="12" spans="1:6" x14ac:dyDescent="0.3">
      <c r="A12" s="1060">
        <v>4</v>
      </c>
      <c r="B12" s="1536" t="s">
        <v>473</v>
      </c>
      <c r="C12" s="1536"/>
      <c r="D12" s="1047">
        <f>+'3Vtas'!C3</f>
        <v>175000000</v>
      </c>
      <c r="F12" s="91"/>
    </row>
    <row r="13" spans="1:6" ht="8.1" customHeight="1" x14ac:dyDescent="0.3">
      <c r="A13" s="1537"/>
      <c r="B13" s="1538"/>
      <c r="C13" s="1538"/>
      <c r="D13" s="1539"/>
    </row>
    <row r="14" spans="1:6" x14ac:dyDescent="0.3">
      <c r="A14" s="1060">
        <v>5</v>
      </c>
      <c r="B14" s="1536" t="s">
        <v>474</v>
      </c>
      <c r="C14" s="1536"/>
      <c r="D14" s="1052">
        <f>+D10/D12</f>
        <v>2.2716783467723607</v>
      </c>
    </row>
    <row r="15" spans="1:6" x14ac:dyDescent="0.3">
      <c r="A15" s="1060">
        <v>6</v>
      </c>
      <c r="B15" s="1536" t="s">
        <v>475</v>
      </c>
      <c r="C15" s="1536"/>
      <c r="D15" s="1053">
        <f>+D9*D14</f>
        <v>656.51504221721223</v>
      </c>
    </row>
    <row r="16" spans="1:6" ht="6" customHeight="1" x14ac:dyDescent="0.3">
      <c r="A16" s="1537"/>
      <c r="B16" s="1538"/>
      <c r="C16" s="1538"/>
      <c r="D16" s="1539"/>
    </row>
    <row r="17" spans="1:4" ht="15" thickBot="1" x14ac:dyDescent="0.35">
      <c r="A17" s="1059">
        <v>7</v>
      </c>
      <c r="B17" s="1530" t="s">
        <v>476</v>
      </c>
      <c r="C17" s="1530"/>
      <c r="D17" s="1054">
        <v>535</v>
      </c>
    </row>
    <row r="18" spans="1:4" ht="15" thickTop="1" x14ac:dyDescent="0.3"/>
  </sheetData>
  <sheetProtection algorithmName="SHA-512" hashValue="Ohx0b4uImhN2yIrR2qSLWc23AdE4P90k3Yqd4a0ZdaDIt/iK1RBoMW5NLa7lao6FVSTvM9IhJjLT8aEcQrOFug==" saltValue="yzOQt9eVs/Sl8LK6oXNB5Q==" spinCount="100000" sheet="1" objects="1" scenarios="1" selectLockedCells="1" selectUnlockedCells="1"/>
  <mergeCells count="13">
    <mergeCell ref="A1:D1"/>
    <mergeCell ref="B17:C17"/>
    <mergeCell ref="A2:B2"/>
    <mergeCell ref="A7:D7"/>
    <mergeCell ref="B8:C8"/>
    <mergeCell ref="B9:C9"/>
    <mergeCell ref="B10:C10"/>
    <mergeCell ref="B12:C12"/>
    <mergeCell ref="B14:C14"/>
    <mergeCell ref="B15:C15"/>
    <mergeCell ref="A11:D11"/>
    <mergeCell ref="A13:D13"/>
    <mergeCell ref="A16:D16"/>
  </mergeCells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11"/>
  <sheetViews>
    <sheetView zoomScaleNormal="100" workbookViewId="0">
      <selection activeCell="G14" sqref="G14"/>
    </sheetView>
  </sheetViews>
  <sheetFormatPr baseColWidth="10" defaultRowHeight="14.4" x14ac:dyDescent="0.3"/>
  <cols>
    <col min="1" max="1" width="5" style="47" bestFit="1" customWidth="1"/>
    <col min="2" max="2" width="53.44140625" bestFit="1" customWidth="1"/>
    <col min="3" max="3" width="12.109375" bestFit="1" customWidth="1"/>
    <col min="4" max="4" width="4.6640625" bestFit="1" customWidth="1"/>
  </cols>
  <sheetData>
    <row r="1" spans="1:3" ht="18" thickTop="1" x14ac:dyDescent="0.3">
      <c r="A1" s="1431" t="s">
        <v>436</v>
      </c>
      <c r="B1" s="1432"/>
      <c r="C1" s="1433"/>
    </row>
    <row r="2" spans="1:3" s="47" customFormat="1" ht="15.6" x14ac:dyDescent="0.3">
      <c r="A2" s="1542" t="s">
        <v>434</v>
      </c>
      <c r="B2" s="1543"/>
      <c r="C2" s="1184">
        <f>+C3</f>
        <v>972.45</v>
      </c>
    </row>
    <row r="3" spans="1:3" ht="15" thickBot="1" x14ac:dyDescent="0.35">
      <c r="A3" s="1546" t="s">
        <v>437</v>
      </c>
      <c r="B3" s="1547"/>
      <c r="C3" s="1185">
        <f>+PartSloPyP!C14</f>
        <v>972.45</v>
      </c>
    </row>
    <row r="4" spans="1:3" s="47" customFormat="1" ht="15.6" x14ac:dyDescent="0.3">
      <c r="A4" s="1544" t="s">
        <v>435</v>
      </c>
      <c r="B4" s="1545"/>
      <c r="C4" s="1192">
        <f>+C5+C6+C10</f>
        <v>22300.35</v>
      </c>
    </row>
    <row r="5" spans="1:3" ht="15" thickBot="1" x14ac:dyDescent="0.35">
      <c r="A5" s="1546" t="s">
        <v>439</v>
      </c>
      <c r="B5" s="1547"/>
      <c r="C5" s="1185">
        <f>+C3*3</f>
        <v>2917.3500000000004</v>
      </c>
    </row>
    <row r="6" spans="1:3" x14ac:dyDescent="0.3">
      <c r="A6" s="1548" t="s">
        <v>491</v>
      </c>
      <c r="B6" s="1549"/>
      <c r="C6" s="1186">
        <f>1461*4+810</f>
        <v>6654</v>
      </c>
    </row>
    <row r="7" spans="1:3" s="47" customFormat="1" x14ac:dyDescent="0.3">
      <c r="A7" s="1193">
        <f>+C7/C6</f>
        <v>0.46410580102194166</v>
      </c>
      <c r="B7" s="1190" t="s">
        <v>492</v>
      </c>
      <c r="C7" s="1187">
        <f>+CalcViv!F5+CalcViv!F11+CalcViv!F17+CalcViv!F24+CalcViv!F30+CalcViv!F36</f>
        <v>3088.16</v>
      </c>
    </row>
    <row r="8" spans="1:3" s="47" customFormat="1" x14ac:dyDescent="0.3">
      <c r="A8" s="1193">
        <f>+C8/C6</f>
        <v>0.40126239855725881</v>
      </c>
      <c r="B8" s="1190" t="s">
        <v>493</v>
      </c>
      <c r="C8" s="1187">
        <v>2670</v>
      </c>
    </row>
    <row r="9" spans="1:3" s="47" customFormat="1" ht="15" thickBot="1" x14ac:dyDescent="0.35">
      <c r="A9" s="1194">
        <f>+C9/C6</f>
        <v>0.13463180042079953</v>
      </c>
      <c r="B9" s="1191" t="s">
        <v>494</v>
      </c>
      <c r="C9" s="1188">
        <f>+C6-C7-C8</f>
        <v>895.84000000000015</v>
      </c>
    </row>
    <row r="10" spans="1:3" ht="15" thickBot="1" x14ac:dyDescent="0.35">
      <c r="A10" s="1540" t="s">
        <v>438</v>
      </c>
      <c r="B10" s="1541"/>
      <c r="C10" s="1189">
        <f>+'1Aprov'!C19</f>
        <v>12729</v>
      </c>
    </row>
    <row r="11" spans="1:3" ht="15" thickTop="1" x14ac:dyDescent="0.3"/>
  </sheetData>
  <sheetProtection algorithmName="SHA-512" hashValue="1ArkSSlRGyaID+/i8T7PB/I4HkmgCHWde2HOVJoa0+2ies8A6jPvGcE8R5t0Dp5x6GI7VOF4ojlJh9sYgc20ZA==" saltValue="HeUWjvvNfuP9hhesBqOq+Q==" spinCount="100000" sheet="1" objects="1" scenarios="1" selectLockedCells="1" selectUnlockedCells="1"/>
  <mergeCells count="7">
    <mergeCell ref="A10:B10"/>
    <mergeCell ref="A1:C1"/>
    <mergeCell ref="A2:B2"/>
    <mergeCell ref="A4:B4"/>
    <mergeCell ref="A3:B3"/>
    <mergeCell ref="A5:B5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46"/>
  <sheetViews>
    <sheetView zoomScaleNormal="100" workbookViewId="0">
      <selection activeCell="K10" sqref="K10"/>
    </sheetView>
  </sheetViews>
  <sheetFormatPr baseColWidth="10" defaultRowHeight="14.4" x14ac:dyDescent="0.3"/>
  <cols>
    <col min="1" max="1" width="15.5546875" bestFit="1" customWidth="1"/>
    <col min="2" max="2" width="13.109375" bestFit="1" customWidth="1"/>
    <col min="3" max="3" width="18.33203125" bestFit="1" customWidth="1"/>
    <col min="4" max="4" width="6.109375" bestFit="1" customWidth="1"/>
    <col min="5" max="5" width="13.109375" bestFit="1" customWidth="1"/>
    <col min="6" max="6" width="18.33203125" bestFit="1" customWidth="1"/>
    <col min="7" max="7" width="11.109375" bestFit="1" customWidth="1"/>
    <col min="8" max="8" width="13.109375" bestFit="1" customWidth="1"/>
    <col min="9" max="9" width="18.33203125" bestFit="1" customWidth="1"/>
    <col min="10" max="10" width="13.44140625" bestFit="1" customWidth="1"/>
    <col min="11" max="11" width="14.109375" bestFit="1" customWidth="1"/>
    <col min="12" max="12" width="10.33203125" bestFit="1" customWidth="1"/>
    <col min="13" max="13" width="12.33203125" bestFit="1" customWidth="1"/>
    <col min="14" max="14" width="8.6640625" bestFit="1" customWidth="1"/>
    <col min="15" max="15" width="13.88671875" bestFit="1" customWidth="1"/>
    <col min="16" max="16" width="8.5546875" bestFit="1" customWidth="1"/>
    <col min="17" max="17" width="13.33203125" bestFit="1" customWidth="1"/>
    <col min="18" max="18" width="9.6640625" bestFit="1" customWidth="1"/>
    <col min="19" max="19" width="10.109375" bestFit="1" customWidth="1"/>
    <col min="21" max="21" width="11" bestFit="1" customWidth="1"/>
    <col min="22" max="22" width="23.109375" bestFit="1" customWidth="1"/>
  </cols>
  <sheetData>
    <row r="1" spans="1:23" ht="17.399999999999999" x14ac:dyDescent="0.3">
      <c r="A1" s="1203" t="s">
        <v>421</v>
      </c>
      <c r="B1" s="1204"/>
      <c r="C1" s="1204"/>
      <c r="D1" s="1204"/>
      <c r="E1" s="1204"/>
      <c r="F1" s="1204"/>
      <c r="G1" s="1204"/>
      <c r="H1" s="1204"/>
      <c r="I1" s="1204"/>
      <c r="J1" s="1205"/>
    </row>
    <row r="2" spans="1:23" ht="15.6" x14ac:dyDescent="0.3">
      <c r="A2" s="1562" t="s">
        <v>104</v>
      </c>
      <c r="B2" s="1563"/>
      <c r="C2" s="1563"/>
      <c r="D2" s="1563"/>
      <c r="E2" s="1563"/>
      <c r="F2" s="1563"/>
      <c r="G2" s="1563"/>
      <c r="H2" s="1563"/>
      <c r="I2" s="1563"/>
      <c r="J2" s="1564"/>
    </row>
    <row r="3" spans="1:23" ht="41.4" x14ac:dyDescent="0.3">
      <c r="A3" s="785" t="s">
        <v>342</v>
      </c>
      <c r="B3" s="786" t="s">
        <v>26</v>
      </c>
      <c r="C3" s="786" t="s">
        <v>28</v>
      </c>
      <c r="D3" s="786" t="s">
        <v>25</v>
      </c>
      <c r="E3" s="786" t="s">
        <v>24</v>
      </c>
      <c r="F3" s="786" t="s">
        <v>29</v>
      </c>
      <c r="G3" s="786" t="s">
        <v>48</v>
      </c>
      <c r="H3" s="786" t="s">
        <v>18</v>
      </c>
      <c r="I3" s="786" t="s">
        <v>46</v>
      </c>
      <c r="J3" s="787" t="s">
        <v>39</v>
      </c>
    </row>
    <row r="4" spans="1:23" x14ac:dyDescent="0.3">
      <c r="A4" s="1561">
        <v>1</v>
      </c>
      <c r="B4" s="1560" t="s">
        <v>44</v>
      </c>
      <c r="C4" s="788">
        <v>64</v>
      </c>
      <c r="D4" s="632">
        <v>4</v>
      </c>
      <c r="E4" s="760">
        <f>+C4*D4</f>
        <v>256</v>
      </c>
      <c r="F4" s="760">
        <f>+E4*1.18</f>
        <v>302.08</v>
      </c>
      <c r="G4" s="630">
        <v>16</v>
      </c>
      <c r="H4" s="760">
        <f>+E4*G4</f>
        <v>4096</v>
      </c>
      <c r="I4" s="760">
        <f>+F4*G4</f>
        <v>4833.28</v>
      </c>
      <c r="J4" s="784">
        <f>+H4/C4</f>
        <v>64</v>
      </c>
    </row>
    <row r="5" spans="1:23" x14ac:dyDescent="0.3">
      <c r="A5" s="1561"/>
      <c r="B5" s="1560"/>
      <c r="C5" s="1565" t="s">
        <v>78</v>
      </c>
      <c r="D5" s="1565"/>
      <c r="E5" s="1565"/>
      <c r="F5" s="760">
        <f>+F4</f>
        <v>302.08</v>
      </c>
      <c r="G5" s="630">
        <v>1</v>
      </c>
      <c r="H5" s="789">
        <f>+G5*0</f>
        <v>0</v>
      </c>
      <c r="I5" s="760">
        <f>+F5*G5</f>
        <v>302.08</v>
      </c>
      <c r="J5" s="784">
        <v>0</v>
      </c>
      <c r="K5" s="21"/>
      <c r="L5" s="21"/>
      <c r="M5" s="21"/>
    </row>
    <row r="6" spans="1:23" x14ac:dyDescent="0.3">
      <c r="A6" s="1561"/>
      <c r="B6" s="1567" t="s">
        <v>47</v>
      </c>
      <c r="C6" s="1567"/>
      <c r="D6" s="1567"/>
      <c r="E6" s="1567"/>
      <c r="F6" s="1567"/>
      <c r="G6" s="1567"/>
      <c r="H6" s="790">
        <f>SUM(H4:H4)</f>
        <v>4096</v>
      </c>
      <c r="I6" s="790">
        <f>+I4+I5</f>
        <v>5135.3599999999997</v>
      </c>
      <c r="J6" s="791">
        <f>SUM(J4:J5)</f>
        <v>64</v>
      </c>
      <c r="K6" s="21"/>
      <c r="L6" s="21"/>
    </row>
    <row r="7" spans="1:23" x14ac:dyDescent="0.3">
      <c r="A7" s="1550"/>
      <c r="B7" s="1551"/>
      <c r="C7" s="1551"/>
      <c r="D7" s="1551"/>
      <c r="E7" s="1551"/>
      <c r="F7" s="1551"/>
      <c r="G7" s="1551"/>
      <c r="H7" s="1551"/>
      <c r="I7" s="1551"/>
      <c r="J7" s="1552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</row>
    <row r="8" spans="1:23" ht="15.6" x14ac:dyDescent="0.3">
      <c r="A8" s="1562" t="s">
        <v>111</v>
      </c>
      <c r="B8" s="1563"/>
      <c r="C8" s="1563"/>
      <c r="D8" s="1563"/>
      <c r="E8" s="1563"/>
      <c r="F8" s="1563"/>
      <c r="G8" s="1563"/>
      <c r="H8" s="1563"/>
      <c r="I8" s="1563"/>
      <c r="J8" s="156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</row>
    <row r="9" spans="1:23" ht="41.4" x14ac:dyDescent="0.3">
      <c r="A9" s="785" t="s">
        <v>422</v>
      </c>
      <c r="B9" s="786" t="s">
        <v>27</v>
      </c>
      <c r="C9" s="786" t="s">
        <v>28</v>
      </c>
      <c r="D9" s="786" t="s">
        <v>25</v>
      </c>
      <c r="E9" s="786" t="s">
        <v>24</v>
      </c>
      <c r="F9" s="786" t="s">
        <v>29</v>
      </c>
      <c r="G9" s="786" t="s">
        <v>48</v>
      </c>
      <c r="H9" s="786" t="s">
        <v>18</v>
      </c>
      <c r="I9" s="786" t="s">
        <v>46</v>
      </c>
      <c r="J9" s="787" t="s">
        <v>39</v>
      </c>
      <c r="K9" s="34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23" x14ac:dyDescent="0.3">
      <c r="A10" s="1561">
        <v>1</v>
      </c>
      <c r="B10" s="1560" t="s">
        <v>45</v>
      </c>
      <c r="C10" s="788">
        <v>45</v>
      </c>
      <c r="D10" s="632">
        <v>12</v>
      </c>
      <c r="E10" s="760">
        <f>+C10*D10</f>
        <v>540</v>
      </c>
      <c r="F10" s="760">
        <f>+E10*1.15</f>
        <v>621</v>
      </c>
      <c r="G10" s="630">
        <v>18</v>
      </c>
      <c r="H10" s="760">
        <f>+E10*G10</f>
        <v>9720</v>
      </c>
      <c r="I10" s="760">
        <f>+F10*G10</f>
        <v>11178</v>
      </c>
      <c r="J10" s="784">
        <f>+H10/C10</f>
        <v>216</v>
      </c>
      <c r="K10" s="35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1:23" x14ac:dyDescent="0.3">
      <c r="A11" s="1561"/>
      <c r="B11" s="1560"/>
      <c r="C11" s="1565" t="s">
        <v>78</v>
      </c>
      <c r="D11" s="1565"/>
      <c r="E11" s="1565"/>
      <c r="F11" s="760">
        <f>+F10</f>
        <v>621</v>
      </c>
      <c r="G11" s="630">
        <v>1</v>
      </c>
      <c r="H11" s="789">
        <f>+G11*0</f>
        <v>0</v>
      </c>
      <c r="I11" s="760">
        <f>+F11*G11</f>
        <v>621</v>
      </c>
      <c r="J11" s="784">
        <v>0</v>
      </c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</row>
    <row r="12" spans="1:23" x14ac:dyDescent="0.3">
      <c r="A12" s="1566" t="s">
        <v>47</v>
      </c>
      <c r="B12" s="1567"/>
      <c r="C12" s="1567"/>
      <c r="D12" s="1567"/>
      <c r="E12" s="1567"/>
      <c r="F12" s="1567"/>
      <c r="G12" s="1567"/>
      <c r="H12" s="790">
        <f>SUM(H10:H11)</f>
        <v>9720</v>
      </c>
      <c r="I12" s="790">
        <f>SUM(I10:I11)</f>
        <v>11799</v>
      </c>
      <c r="J12" s="791">
        <f>SUM(J10:J11)</f>
        <v>216</v>
      </c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</row>
    <row r="13" spans="1:23" x14ac:dyDescent="0.3">
      <c r="A13" s="1553"/>
      <c r="B13" s="1554"/>
      <c r="C13" s="1554"/>
      <c r="D13" s="1554"/>
      <c r="E13" s="1554"/>
      <c r="F13" s="1554"/>
      <c r="G13" s="1554"/>
      <c r="H13" s="1554"/>
      <c r="I13" s="1554"/>
      <c r="J13" s="1555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</row>
    <row r="14" spans="1:23" ht="15.6" x14ac:dyDescent="0.3">
      <c r="A14" s="1562" t="s">
        <v>111</v>
      </c>
      <c r="B14" s="1563"/>
      <c r="C14" s="1563"/>
      <c r="D14" s="1563"/>
      <c r="E14" s="1563"/>
      <c r="F14" s="1563"/>
      <c r="G14" s="1563"/>
      <c r="H14" s="1563"/>
      <c r="I14" s="1563"/>
      <c r="J14" s="1564"/>
      <c r="K14" s="34"/>
      <c r="L14" s="36"/>
      <c r="M14" s="36"/>
      <c r="N14" s="36"/>
      <c r="O14" s="36"/>
      <c r="P14" s="34"/>
      <c r="Q14" s="34"/>
      <c r="R14" s="34"/>
      <c r="S14" s="34"/>
      <c r="T14" s="34"/>
      <c r="U14" s="34"/>
    </row>
    <row r="15" spans="1:23" ht="41.4" x14ac:dyDescent="0.3">
      <c r="A15" s="785" t="s">
        <v>342</v>
      </c>
      <c r="B15" s="786" t="s">
        <v>27</v>
      </c>
      <c r="C15" s="786" t="s">
        <v>28</v>
      </c>
      <c r="D15" s="786" t="s">
        <v>25</v>
      </c>
      <c r="E15" s="786" t="s">
        <v>24</v>
      </c>
      <c r="F15" s="786" t="s">
        <v>29</v>
      </c>
      <c r="G15" s="786" t="s">
        <v>48</v>
      </c>
      <c r="H15" s="786" t="s">
        <v>18</v>
      </c>
      <c r="I15" s="786" t="s">
        <v>46</v>
      </c>
      <c r="J15" s="787" t="s">
        <v>39</v>
      </c>
      <c r="K15" s="34"/>
      <c r="L15" s="36"/>
      <c r="M15" s="36"/>
      <c r="N15" s="36"/>
      <c r="O15" s="36"/>
      <c r="P15" s="34"/>
      <c r="Q15" s="34"/>
      <c r="R15" s="34"/>
      <c r="S15" s="34"/>
      <c r="T15" s="34"/>
      <c r="U15" s="34"/>
      <c r="W15" t="s">
        <v>103</v>
      </c>
    </row>
    <row r="16" spans="1:23" x14ac:dyDescent="0.3">
      <c r="A16" s="1561">
        <v>1</v>
      </c>
      <c r="B16" s="1560" t="s">
        <v>79</v>
      </c>
      <c r="C16" s="788">
        <v>45</v>
      </c>
      <c r="D16" s="632">
        <v>12</v>
      </c>
      <c r="E16" s="760">
        <f>+C16*D16</f>
        <v>540</v>
      </c>
      <c r="F16" s="760">
        <f>+E16*1.15</f>
        <v>621</v>
      </c>
      <c r="G16" s="630">
        <v>18</v>
      </c>
      <c r="H16" s="760">
        <f>+E16*G16</f>
        <v>9720</v>
      </c>
      <c r="I16" s="760">
        <f>+F16*G16</f>
        <v>11178</v>
      </c>
      <c r="J16" s="784">
        <f>+H16/C16</f>
        <v>216</v>
      </c>
      <c r="K16" s="34"/>
      <c r="L16" s="36"/>
      <c r="M16" s="36"/>
      <c r="N16" s="36"/>
      <c r="O16" s="36"/>
      <c r="P16" s="34"/>
      <c r="Q16" s="34"/>
      <c r="R16" s="34"/>
      <c r="S16" s="34"/>
      <c r="T16" s="34"/>
      <c r="U16" s="34"/>
    </row>
    <row r="17" spans="1:22" x14ac:dyDescent="0.3">
      <c r="A17" s="1561"/>
      <c r="B17" s="1560"/>
      <c r="C17" s="1565" t="s">
        <v>78</v>
      </c>
      <c r="D17" s="1565"/>
      <c r="E17" s="1565"/>
      <c r="F17" s="760">
        <f>+F16</f>
        <v>621</v>
      </c>
      <c r="G17" s="630">
        <v>1</v>
      </c>
      <c r="H17" s="789">
        <f>+G17*0</f>
        <v>0</v>
      </c>
      <c r="I17" s="760">
        <f>+F17*G17</f>
        <v>621</v>
      </c>
      <c r="J17" s="784">
        <v>0</v>
      </c>
      <c r="K17" s="34"/>
      <c r="L17" s="36"/>
      <c r="M17" s="36"/>
      <c r="N17" s="36"/>
      <c r="O17" s="36"/>
      <c r="P17" s="34"/>
      <c r="Q17" s="34"/>
      <c r="R17" s="34"/>
      <c r="S17" s="34"/>
      <c r="T17" s="34"/>
      <c r="U17" s="34"/>
    </row>
    <row r="18" spans="1:22" ht="15" thickBot="1" x14ac:dyDescent="0.35">
      <c r="A18" s="1568" t="s">
        <v>47</v>
      </c>
      <c r="B18" s="1569"/>
      <c r="C18" s="1569"/>
      <c r="D18" s="1569"/>
      <c r="E18" s="1569"/>
      <c r="F18" s="1569"/>
      <c r="G18" s="1569"/>
      <c r="H18" s="631">
        <f>SUM(H16:H17)</f>
        <v>9720</v>
      </c>
      <c r="I18" s="631">
        <f>SUM(I16:I17)</f>
        <v>11799</v>
      </c>
      <c r="J18" s="792">
        <f>SUM(J16:J17)</f>
        <v>216</v>
      </c>
      <c r="K18" s="34"/>
      <c r="L18" s="36"/>
      <c r="M18" s="36"/>
      <c r="N18" s="36"/>
      <c r="O18" s="36"/>
      <c r="P18" s="34"/>
      <c r="Q18" s="34"/>
      <c r="R18" s="34"/>
      <c r="S18" s="34"/>
      <c r="T18" s="34"/>
      <c r="U18" s="35"/>
    </row>
    <row r="19" spans="1:22" ht="15" thickBot="1" x14ac:dyDescent="0.35">
      <c r="A19" s="66"/>
      <c r="B19" s="66"/>
      <c r="C19" s="66"/>
      <c r="D19" s="66"/>
      <c r="E19" s="66"/>
      <c r="F19" s="66"/>
      <c r="G19" s="66"/>
      <c r="H19" s="67"/>
      <c r="I19" s="67"/>
      <c r="J19" s="68"/>
      <c r="L19" s="30"/>
      <c r="M19" s="30"/>
      <c r="N19" s="30"/>
      <c r="O19" s="30"/>
    </row>
    <row r="20" spans="1:22" ht="17.399999999999999" x14ac:dyDescent="0.3">
      <c r="A20" s="1203" t="s">
        <v>423</v>
      </c>
      <c r="B20" s="1204"/>
      <c r="C20" s="1204"/>
      <c r="D20" s="1204"/>
      <c r="E20" s="1204"/>
      <c r="F20" s="1204"/>
      <c r="G20" s="1204"/>
      <c r="H20" s="1204"/>
      <c r="I20" s="1204"/>
      <c r="J20" s="1205"/>
      <c r="L20" s="30"/>
      <c r="M20" s="30"/>
      <c r="N20" s="30"/>
      <c r="O20" s="30"/>
      <c r="V20" s="14"/>
    </row>
    <row r="21" spans="1:22" ht="15.6" x14ac:dyDescent="0.3">
      <c r="A21" s="1562" t="s">
        <v>104</v>
      </c>
      <c r="B21" s="1563"/>
      <c r="C21" s="1563"/>
      <c r="D21" s="1563"/>
      <c r="E21" s="1563"/>
      <c r="F21" s="1563"/>
      <c r="G21" s="1563"/>
      <c r="H21" s="1563"/>
      <c r="I21" s="1563"/>
      <c r="J21" s="1564"/>
      <c r="L21" s="30"/>
      <c r="M21" s="30"/>
      <c r="N21" s="30"/>
      <c r="O21" s="30"/>
      <c r="V21" s="31"/>
    </row>
    <row r="22" spans="1:22" ht="41.4" x14ac:dyDescent="0.3">
      <c r="A22" s="785" t="s">
        <v>342</v>
      </c>
      <c r="B22" s="786" t="s">
        <v>26</v>
      </c>
      <c r="C22" s="786" t="s">
        <v>28</v>
      </c>
      <c r="D22" s="786" t="s">
        <v>25</v>
      </c>
      <c r="E22" s="786" t="s">
        <v>24</v>
      </c>
      <c r="F22" s="786" t="s">
        <v>29</v>
      </c>
      <c r="G22" s="786" t="s">
        <v>48</v>
      </c>
      <c r="H22" s="786" t="s">
        <v>18</v>
      </c>
      <c r="I22" s="786" t="s">
        <v>46</v>
      </c>
      <c r="J22" s="787" t="s">
        <v>39</v>
      </c>
      <c r="L22" s="30"/>
      <c r="M22" s="30"/>
      <c r="N22" s="30"/>
      <c r="O22" s="30"/>
      <c r="V22" s="31"/>
    </row>
    <row r="23" spans="1:22" x14ac:dyDescent="0.3">
      <c r="A23" s="1561">
        <v>2</v>
      </c>
      <c r="B23" s="1560" t="s">
        <v>424</v>
      </c>
      <c r="C23" s="788">
        <v>64</v>
      </c>
      <c r="D23" s="632">
        <v>4</v>
      </c>
      <c r="E23" s="760">
        <f>+C23*D23</f>
        <v>256</v>
      </c>
      <c r="F23" s="760">
        <f>+E23*1.18</f>
        <v>302.08</v>
      </c>
      <c r="G23" s="630">
        <v>16</v>
      </c>
      <c r="H23" s="760">
        <f>+E23*G23</f>
        <v>4096</v>
      </c>
      <c r="I23" s="760">
        <f>+F23*G23</f>
        <v>4833.28</v>
      </c>
      <c r="J23" s="784">
        <f>+H23/C23</f>
        <v>64</v>
      </c>
      <c r="L23" s="30"/>
      <c r="M23" s="30"/>
      <c r="N23" s="30"/>
      <c r="O23" s="30"/>
    </row>
    <row r="24" spans="1:22" x14ac:dyDescent="0.3">
      <c r="A24" s="1561"/>
      <c r="B24" s="1560"/>
      <c r="C24" s="1565" t="s">
        <v>78</v>
      </c>
      <c r="D24" s="1565"/>
      <c r="E24" s="1565"/>
      <c r="F24" s="760">
        <f>+F23</f>
        <v>302.08</v>
      </c>
      <c r="G24" s="630">
        <v>1</v>
      </c>
      <c r="H24" s="789">
        <f>+G24*0</f>
        <v>0</v>
      </c>
      <c r="I24" s="760">
        <f>+F24*G24</f>
        <v>302.08</v>
      </c>
      <c r="J24" s="784">
        <v>0</v>
      </c>
      <c r="L24" s="30"/>
      <c r="M24" s="30"/>
      <c r="N24" s="30"/>
      <c r="O24" s="30"/>
    </row>
    <row r="25" spans="1:22" x14ac:dyDescent="0.3">
      <c r="A25" s="1561"/>
      <c r="B25" s="1567" t="s">
        <v>47</v>
      </c>
      <c r="C25" s="1567"/>
      <c r="D25" s="1567"/>
      <c r="E25" s="1567"/>
      <c r="F25" s="1567"/>
      <c r="G25" s="1567"/>
      <c r="H25" s="790">
        <f>SUM(H23:H23)</f>
        <v>4096</v>
      </c>
      <c r="I25" s="790">
        <f>+I23+I24</f>
        <v>5135.3599999999997</v>
      </c>
      <c r="J25" s="791">
        <f>SUM(J23:J24)</f>
        <v>64</v>
      </c>
      <c r="L25" s="30"/>
      <c r="M25" s="30"/>
      <c r="N25" s="30"/>
      <c r="O25" s="30"/>
    </row>
    <row r="26" spans="1:22" x14ac:dyDescent="0.3">
      <c r="A26" s="1550"/>
      <c r="B26" s="1551"/>
      <c r="C26" s="1551"/>
      <c r="D26" s="1551"/>
      <c r="E26" s="1551"/>
      <c r="F26" s="1551"/>
      <c r="G26" s="1551"/>
      <c r="H26" s="1551"/>
      <c r="I26" s="1551"/>
      <c r="J26" s="1552"/>
      <c r="L26" s="30"/>
      <c r="M26" s="30"/>
      <c r="N26" s="30"/>
      <c r="O26" s="30"/>
    </row>
    <row r="27" spans="1:22" ht="15.6" x14ac:dyDescent="0.3">
      <c r="A27" s="1562" t="s">
        <v>111</v>
      </c>
      <c r="B27" s="1563"/>
      <c r="C27" s="1563"/>
      <c r="D27" s="1563"/>
      <c r="E27" s="1563"/>
      <c r="F27" s="1563"/>
      <c r="G27" s="1563"/>
      <c r="H27" s="1563"/>
      <c r="I27" s="1563"/>
      <c r="J27" s="1564"/>
      <c r="L27" s="21"/>
      <c r="M27" s="21"/>
    </row>
    <row r="28" spans="1:22" ht="41.4" x14ac:dyDescent="0.3">
      <c r="A28" s="785" t="s">
        <v>422</v>
      </c>
      <c r="B28" s="786" t="s">
        <v>27</v>
      </c>
      <c r="C28" s="786" t="s">
        <v>28</v>
      </c>
      <c r="D28" s="786" t="s">
        <v>25</v>
      </c>
      <c r="E28" s="786" t="s">
        <v>24</v>
      </c>
      <c r="F28" s="786" t="s">
        <v>29</v>
      </c>
      <c r="G28" s="786" t="s">
        <v>48</v>
      </c>
      <c r="H28" s="786" t="s">
        <v>18</v>
      </c>
      <c r="I28" s="786" t="s">
        <v>46</v>
      </c>
      <c r="J28" s="787" t="s">
        <v>39</v>
      </c>
      <c r="L28" s="21"/>
      <c r="M28" s="21"/>
    </row>
    <row r="29" spans="1:22" x14ac:dyDescent="0.3">
      <c r="A29" s="1561">
        <v>2</v>
      </c>
      <c r="B29" s="1560" t="s">
        <v>425</v>
      </c>
      <c r="C29" s="788">
        <v>45</v>
      </c>
      <c r="D29" s="632">
        <v>12</v>
      </c>
      <c r="E29" s="760">
        <f>+C29*D29</f>
        <v>540</v>
      </c>
      <c r="F29" s="760">
        <f>+E29*1.15</f>
        <v>621</v>
      </c>
      <c r="G29" s="1129">
        <v>18</v>
      </c>
      <c r="H29" s="760">
        <f>+E29*G29</f>
        <v>9720</v>
      </c>
      <c r="I29" s="760">
        <f>+F29*G29</f>
        <v>11178</v>
      </c>
      <c r="J29" s="784">
        <f>+H29/C29</f>
        <v>216</v>
      </c>
      <c r="L29" s="21"/>
      <c r="M29" s="21"/>
    </row>
    <row r="30" spans="1:22" x14ac:dyDescent="0.3">
      <c r="A30" s="1561"/>
      <c r="B30" s="1560"/>
      <c r="C30" s="1565" t="s">
        <v>78</v>
      </c>
      <c r="D30" s="1565"/>
      <c r="E30" s="1565"/>
      <c r="F30" s="760">
        <f>+F29</f>
        <v>621</v>
      </c>
      <c r="G30" s="630">
        <v>1</v>
      </c>
      <c r="H30" s="789">
        <f>+G30*0</f>
        <v>0</v>
      </c>
      <c r="I30" s="760">
        <f>+F30*G30</f>
        <v>621</v>
      </c>
      <c r="J30" s="784">
        <v>0</v>
      </c>
      <c r="L30" s="21"/>
      <c r="M30" s="21"/>
    </row>
    <row r="31" spans="1:22" x14ac:dyDescent="0.3">
      <c r="A31" s="1566" t="s">
        <v>47</v>
      </c>
      <c r="B31" s="1567"/>
      <c r="C31" s="1567"/>
      <c r="D31" s="1567"/>
      <c r="E31" s="1567"/>
      <c r="F31" s="1567"/>
      <c r="G31" s="1567"/>
      <c r="H31" s="790">
        <f>SUM(H29:H30)</f>
        <v>9720</v>
      </c>
      <c r="I31" s="790">
        <f>SUM(I29:I30)</f>
        <v>11799</v>
      </c>
      <c r="J31" s="791">
        <f>SUM(J29:J30)</f>
        <v>216</v>
      </c>
      <c r="L31" s="21"/>
      <c r="M31" s="21"/>
    </row>
    <row r="32" spans="1:22" x14ac:dyDescent="0.3">
      <c r="A32" s="1553"/>
      <c r="B32" s="1554"/>
      <c r="C32" s="1554"/>
      <c r="D32" s="1554"/>
      <c r="E32" s="1554"/>
      <c r="F32" s="1554"/>
      <c r="G32" s="1554"/>
      <c r="H32" s="1554"/>
      <c r="I32" s="1554"/>
      <c r="J32" s="1555"/>
      <c r="L32" s="21"/>
      <c r="M32" s="21"/>
    </row>
    <row r="33" spans="1:13" ht="15.6" x14ac:dyDescent="0.3">
      <c r="A33" s="1562" t="s">
        <v>111</v>
      </c>
      <c r="B33" s="1563"/>
      <c r="C33" s="1563"/>
      <c r="D33" s="1563"/>
      <c r="E33" s="1563"/>
      <c r="F33" s="1563"/>
      <c r="G33" s="1563"/>
      <c r="H33" s="1563"/>
      <c r="I33" s="1563"/>
      <c r="J33" s="1564"/>
      <c r="L33" s="21"/>
      <c r="M33" s="21"/>
    </row>
    <row r="34" spans="1:13" ht="41.4" x14ac:dyDescent="0.3">
      <c r="A34" s="785" t="s">
        <v>43</v>
      </c>
      <c r="B34" s="786" t="s">
        <v>27</v>
      </c>
      <c r="C34" s="786" t="s">
        <v>28</v>
      </c>
      <c r="D34" s="786" t="s">
        <v>25</v>
      </c>
      <c r="E34" s="786" t="s">
        <v>24</v>
      </c>
      <c r="F34" s="786" t="s">
        <v>29</v>
      </c>
      <c r="G34" s="786" t="s">
        <v>48</v>
      </c>
      <c r="H34" s="786" t="s">
        <v>18</v>
      </c>
      <c r="I34" s="786" t="s">
        <v>46</v>
      </c>
      <c r="J34" s="787" t="s">
        <v>39</v>
      </c>
      <c r="L34" s="21"/>
      <c r="M34" s="21"/>
    </row>
    <row r="35" spans="1:13" x14ac:dyDescent="0.3">
      <c r="A35" s="1561">
        <v>2</v>
      </c>
      <c r="B35" s="1560" t="s">
        <v>426</v>
      </c>
      <c r="C35" s="788">
        <v>45</v>
      </c>
      <c r="D35" s="632">
        <v>12</v>
      </c>
      <c r="E35" s="760">
        <f>+C35*D35</f>
        <v>540</v>
      </c>
      <c r="F35" s="760">
        <f>+E35*1.15</f>
        <v>621</v>
      </c>
      <c r="G35" s="1129">
        <v>18</v>
      </c>
      <c r="H35" s="760">
        <f>+E35*G35</f>
        <v>9720</v>
      </c>
      <c r="I35" s="760">
        <f>+F35*G35</f>
        <v>11178</v>
      </c>
      <c r="J35" s="784">
        <f>+H35/C35</f>
        <v>216</v>
      </c>
      <c r="L35" s="21"/>
      <c r="M35" s="21"/>
    </row>
    <row r="36" spans="1:13" x14ac:dyDescent="0.3">
      <c r="A36" s="1561"/>
      <c r="B36" s="1560"/>
      <c r="C36" s="1565" t="s">
        <v>78</v>
      </c>
      <c r="D36" s="1565"/>
      <c r="E36" s="1565"/>
      <c r="F36" s="760">
        <f>+F35</f>
        <v>621</v>
      </c>
      <c r="G36" s="630">
        <v>1</v>
      </c>
      <c r="H36" s="789">
        <f>+G36*0</f>
        <v>0</v>
      </c>
      <c r="I36" s="760">
        <f>+F36*G36</f>
        <v>621</v>
      </c>
      <c r="J36" s="784">
        <v>0</v>
      </c>
      <c r="L36" s="21"/>
      <c r="M36" s="21"/>
    </row>
    <row r="37" spans="1:13" ht="15" thickBot="1" x14ac:dyDescent="0.35">
      <c r="A37" s="1568" t="s">
        <v>47</v>
      </c>
      <c r="B37" s="1569"/>
      <c r="C37" s="1569"/>
      <c r="D37" s="1569"/>
      <c r="E37" s="1569"/>
      <c r="F37" s="1569"/>
      <c r="G37" s="1569"/>
      <c r="H37" s="631">
        <f>SUM(H35:H36)</f>
        <v>9720</v>
      </c>
      <c r="I37" s="631">
        <f>SUM(I35:I36)</f>
        <v>11799</v>
      </c>
      <c r="J37" s="792">
        <f>SUM(J35:J36)</f>
        <v>216</v>
      </c>
      <c r="L37" s="21"/>
      <c r="M37" s="21"/>
    </row>
    <row r="38" spans="1:13" ht="15" thickBot="1" x14ac:dyDescent="0.35">
      <c r="A38" s="66"/>
      <c r="B38" s="66"/>
      <c r="C38" s="66"/>
      <c r="D38" s="66"/>
      <c r="E38" s="66"/>
      <c r="F38" s="66"/>
      <c r="G38" s="66"/>
      <c r="H38" s="67"/>
      <c r="I38" s="67"/>
      <c r="J38" s="68"/>
    </row>
    <row r="39" spans="1:13" ht="17.399999999999999" x14ac:dyDescent="0.3">
      <c r="A39" s="1227" t="s">
        <v>49</v>
      </c>
      <c r="B39" s="1228"/>
      <c r="C39" s="1228"/>
      <c r="D39" s="1228"/>
      <c r="E39" s="1228"/>
      <c r="F39" s="1228"/>
      <c r="G39" s="1228"/>
      <c r="H39" s="1228"/>
      <c r="I39" s="1228"/>
      <c r="J39" s="1229"/>
      <c r="K39" s="29"/>
    </row>
    <row r="40" spans="1:13" ht="23.25" customHeight="1" x14ac:dyDescent="0.3">
      <c r="A40" s="1557" t="s">
        <v>52</v>
      </c>
      <c r="B40" s="1556" t="s">
        <v>50</v>
      </c>
      <c r="C40" s="1556"/>
      <c r="D40" s="1556"/>
      <c r="E40" s="1556" t="s">
        <v>51</v>
      </c>
      <c r="F40" s="1556"/>
      <c r="G40" s="1556"/>
      <c r="H40" s="1556" t="s">
        <v>2</v>
      </c>
      <c r="I40" s="1556"/>
      <c r="J40" s="1559"/>
    </row>
    <row r="41" spans="1:13" ht="36" customHeight="1" x14ac:dyDescent="0.3">
      <c r="A41" s="1558"/>
      <c r="B41" s="794" t="s">
        <v>18</v>
      </c>
      <c r="C41" s="794" t="s">
        <v>46</v>
      </c>
      <c r="D41" s="794" t="s">
        <v>5</v>
      </c>
      <c r="E41" s="794" t="s">
        <v>18</v>
      </c>
      <c r="F41" s="794" t="s">
        <v>46</v>
      </c>
      <c r="G41" s="794" t="s">
        <v>5</v>
      </c>
      <c r="H41" s="794" t="s">
        <v>18</v>
      </c>
      <c r="I41" s="794" t="s">
        <v>46</v>
      </c>
      <c r="J41" s="793" t="s">
        <v>5</v>
      </c>
    </row>
    <row r="42" spans="1:13" ht="15" x14ac:dyDescent="0.3">
      <c r="A42" s="795" t="s">
        <v>112</v>
      </c>
      <c r="B42" s="796">
        <f>+H6</f>
        <v>4096</v>
      </c>
      <c r="C42" s="796">
        <f>+I6</f>
        <v>5135.3599999999997</v>
      </c>
      <c r="D42" s="797">
        <f>+B42*J42/H42</f>
        <v>0.5</v>
      </c>
      <c r="E42" s="796">
        <f>+H25</f>
        <v>4096</v>
      </c>
      <c r="F42" s="796">
        <f>+I25</f>
        <v>5135.3599999999997</v>
      </c>
      <c r="G42" s="797">
        <f>+E42*J42/H42</f>
        <v>0.5</v>
      </c>
      <c r="H42" s="796">
        <f>+B42+E42</f>
        <v>8192</v>
      </c>
      <c r="I42" s="796">
        <f>+C42+F42</f>
        <v>10270.719999999999</v>
      </c>
      <c r="J42" s="798">
        <v>1</v>
      </c>
    </row>
    <row r="43" spans="1:13" ht="15.6" x14ac:dyDescent="0.3">
      <c r="A43" s="795" t="s">
        <v>113</v>
      </c>
      <c r="B43" s="796">
        <f>+H12+H18</f>
        <v>19440</v>
      </c>
      <c r="C43" s="799">
        <f>+I12+I18</f>
        <v>23598</v>
      </c>
      <c r="D43" s="797">
        <f>+B43*J43/H43</f>
        <v>0.5</v>
      </c>
      <c r="E43" s="796">
        <f>+H31+H37</f>
        <v>19440</v>
      </c>
      <c r="F43" s="800">
        <f>++I31+I37</f>
        <v>23598</v>
      </c>
      <c r="G43" s="797">
        <f>+E43*J43/H43</f>
        <v>0.5</v>
      </c>
      <c r="H43" s="796">
        <f>+B43+E43</f>
        <v>38880</v>
      </c>
      <c r="I43" s="796">
        <f>+C43+F43</f>
        <v>47196</v>
      </c>
      <c r="J43" s="798">
        <v>1</v>
      </c>
    </row>
    <row r="44" spans="1:13" ht="16.2" thickBot="1" x14ac:dyDescent="0.35">
      <c r="A44" s="801" t="s">
        <v>68</v>
      </c>
      <c r="B44" s="802">
        <f>SUM(B42:B43)</f>
        <v>23536</v>
      </c>
      <c r="C44" s="802">
        <f>SUM(C42:C43)</f>
        <v>28733.360000000001</v>
      </c>
      <c r="D44" s="764">
        <f>+B44*J44/H44</f>
        <v>0.5</v>
      </c>
      <c r="E44" s="802">
        <f>SUM(E42:E43)</f>
        <v>23536</v>
      </c>
      <c r="F44" s="802">
        <f>SUM(F42:F43)</f>
        <v>28733.360000000001</v>
      </c>
      <c r="G44" s="764">
        <f>+E44*J44/H44</f>
        <v>0.5</v>
      </c>
      <c r="H44" s="802">
        <f>SUM(H42:H43)</f>
        <v>47072</v>
      </c>
      <c r="I44" s="802">
        <f>SUM(I42:I43)</f>
        <v>57466.720000000001</v>
      </c>
      <c r="J44" s="803">
        <v>1</v>
      </c>
    </row>
    <row r="46" spans="1:13" x14ac:dyDescent="0.3">
      <c r="G46" s="14"/>
      <c r="H46" s="14"/>
    </row>
  </sheetData>
  <sheetProtection algorithmName="SHA-512" hashValue="r95c36nKioQyHT5Sm1uP95bW+S+bwPilRQJ5wR8Jdh+x5MeC3pQu74bf9Rlh60g7JykAsMyv55VPUpmjzUjsIg==" saltValue="lOBGgQMvkPCoG5phtSXPAA==" spinCount="100000" sheet="1" objects="1" scenarios="1" selectLockedCells="1" selectUnlockedCells="1"/>
  <mergeCells count="41">
    <mergeCell ref="A18:G18"/>
    <mergeCell ref="B10:B11"/>
    <mergeCell ref="B16:B17"/>
    <mergeCell ref="A39:J39"/>
    <mergeCell ref="C36:E36"/>
    <mergeCell ref="A37:G37"/>
    <mergeCell ref="A29:A30"/>
    <mergeCell ref="A20:J20"/>
    <mergeCell ref="A21:J21"/>
    <mergeCell ref="A23:A25"/>
    <mergeCell ref="B23:B24"/>
    <mergeCell ref="C24:E24"/>
    <mergeCell ref="B25:G25"/>
    <mergeCell ref="A16:A17"/>
    <mergeCell ref="C11:E11"/>
    <mergeCell ref="C17:E17"/>
    <mergeCell ref="A1:J1"/>
    <mergeCell ref="A4:A6"/>
    <mergeCell ref="A8:J8"/>
    <mergeCell ref="A14:J14"/>
    <mergeCell ref="A12:G12"/>
    <mergeCell ref="A10:A11"/>
    <mergeCell ref="A2:J2"/>
    <mergeCell ref="B4:B5"/>
    <mergeCell ref="C5:E5"/>
    <mergeCell ref="B6:G6"/>
    <mergeCell ref="A7:J7"/>
    <mergeCell ref="A13:J13"/>
    <mergeCell ref="A26:J26"/>
    <mergeCell ref="A32:J32"/>
    <mergeCell ref="B40:D40"/>
    <mergeCell ref="E40:G40"/>
    <mergeCell ref="A40:A41"/>
    <mergeCell ref="H40:J40"/>
    <mergeCell ref="B35:B36"/>
    <mergeCell ref="A35:A36"/>
    <mergeCell ref="A27:J27"/>
    <mergeCell ref="B29:B30"/>
    <mergeCell ref="C30:E30"/>
    <mergeCell ref="A31:G31"/>
    <mergeCell ref="A33:J33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1"/>
  <sheetViews>
    <sheetView workbookViewId="0">
      <selection activeCell="I13" sqref="I13"/>
    </sheetView>
  </sheetViews>
  <sheetFormatPr baseColWidth="10" defaultColWidth="11.44140625" defaultRowHeight="14.4" x14ac:dyDescent="0.3"/>
  <cols>
    <col min="1" max="1" width="7.109375" style="47" bestFit="1" customWidth="1"/>
    <col min="2" max="2" width="23.6640625" style="47" bestFit="1" customWidth="1"/>
    <col min="3" max="3" width="14.88671875" style="47" bestFit="1" customWidth="1"/>
    <col min="4" max="4" width="11.33203125" style="47" bestFit="1" customWidth="1"/>
    <col min="5" max="5" width="14.33203125" style="47" bestFit="1" customWidth="1"/>
    <col min="6" max="6" width="10" style="47" bestFit="1" customWidth="1"/>
    <col min="7" max="7" width="11.33203125" style="47" bestFit="1" customWidth="1"/>
    <col min="8" max="8" width="23.6640625" style="47" bestFit="1" customWidth="1"/>
    <col min="9" max="9" width="14.88671875" style="47" bestFit="1" customWidth="1"/>
    <col min="10" max="10" width="11.33203125" style="47" bestFit="1" customWidth="1"/>
    <col min="11" max="11" width="13.5546875" style="47" bestFit="1" customWidth="1"/>
    <col min="12" max="12" width="18.6640625" style="47" bestFit="1" customWidth="1"/>
    <col min="13" max="15" width="11.44140625" style="47"/>
    <col min="16" max="16" width="14.5546875" style="47" bestFit="1" customWidth="1"/>
    <col min="17" max="17" width="13.5546875" style="47" bestFit="1" customWidth="1"/>
    <col min="18" max="16384" width="11.44140625" style="47"/>
  </cols>
  <sheetData>
    <row r="1" spans="1:12" ht="23.4" x14ac:dyDescent="0.4">
      <c r="A1" s="1227" t="s">
        <v>351</v>
      </c>
      <c r="B1" s="1573"/>
      <c r="C1" s="1573"/>
      <c r="D1" s="1573"/>
      <c r="E1" s="1573"/>
      <c r="F1" s="1574"/>
      <c r="G1" s="34"/>
      <c r="H1" s="1570"/>
      <c r="I1" s="1570"/>
      <c r="J1" s="1570"/>
      <c r="K1" s="1570"/>
      <c r="L1" s="1570"/>
    </row>
    <row r="2" spans="1:12" ht="23.4" x14ac:dyDescent="0.4">
      <c r="A2" s="1581" t="s">
        <v>299</v>
      </c>
      <c r="B2" s="1582"/>
      <c r="C2" s="1582"/>
      <c r="D2" s="1582"/>
      <c r="E2" s="1582"/>
      <c r="F2" s="1583"/>
      <c r="G2" s="34"/>
      <c r="H2" s="211"/>
      <c r="I2" s="211"/>
      <c r="J2" s="211"/>
      <c r="K2" s="211"/>
      <c r="L2" s="211"/>
    </row>
    <row r="3" spans="1:12" ht="27" thickBot="1" x14ac:dyDescent="0.35">
      <c r="A3" s="187" t="s">
        <v>342</v>
      </c>
      <c r="B3" s="163" t="s">
        <v>26</v>
      </c>
      <c r="C3" s="163" t="s">
        <v>46</v>
      </c>
      <c r="D3" s="163" t="s">
        <v>18</v>
      </c>
      <c r="E3" s="163" t="s">
        <v>54</v>
      </c>
      <c r="F3" s="164" t="s">
        <v>353</v>
      </c>
      <c r="G3" s="34"/>
      <c r="H3" s="25"/>
      <c r="I3" s="25"/>
      <c r="J3" s="25"/>
      <c r="K3" s="25"/>
      <c r="L3" s="25"/>
    </row>
    <row r="4" spans="1:12" ht="15.6" x14ac:dyDescent="0.3">
      <c r="A4" s="1575" t="s">
        <v>337</v>
      </c>
      <c r="B4" s="167" t="s">
        <v>53</v>
      </c>
      <c r="C4" s="168">
        <v>274</v>
      </c>
      <c r="D4" s="168">
        <f t="shared" ref="D4:D5" si="0">+ROUNDUP(C4/(1.05),0)</f>
        <v>261</v>
      </c>
      <c r="E4" s="1571">
        <v>6</v>
      </c>
      <c r="F4" s="1578">
        <f>+(D4+D5)/E4</f>
        <v>65.333333333333329</v>
      </c>
      <c r="G4" s="154"/>
      <c r="H4" s="177"/>
      <c r="I4" s="178"/>
      <c r="J4" s="178"/>
      <c r="K4" s="184"/>
      <c r="L4" s="28"/>
    </row>
    <row r="5" spans="1:12" ht="15.6" x14ac:dyDescent="0.3">
      <c r="A5" s="1576"/>
      <c r="B5" s="159" t="s">
        <v>105</v>
      </c>
      <c r="C5" s="160">
        <f>+C4*0.5</f>
        <v>137</v>
      </c>
      <c r="D5" s="160">
        <f t="shared" si="0"/>
        <v>131</v>
      </c>
      <c r="E5" s="1572"/>
      <c r="F5" s="1579"/>
      <c r="G5" s="34"/>
      <c r="H5" s="177"/>
      <c r="I5" s="178"/>
      <c r="J5" s="178"/>
      <c r="K5" s="184"/>
      <c r="L5" s="28"/>
    </row>
    <row r="6" spans="1:12" ht="16.2" thickBot="1" x14ac:dyDescent="0.35">
      <c r="A6" s="1577"/>
      <c r="B6" s="161" t="s">
        <v>47</v>
      </c>
      <c r="C6" s="169">
        <f>SUM(C4:C5)</f>
        <v>411</v>
      </c>
      <c r="D6" s="170">
        <f>SUM(D4:D5)</f>
        <v>392</v>
      </c>
      <c r="E6" s="171">
        <f>SUM(E4:E5)</f>
        <v>6</v>
      </c>
      <c r="F6" s="1580"/>
      <c r="G6" s="34"/>
      <c r="H6" s="179"/>
      <c r="I6" s="180"/>
      <c r="J6" s="181"/>
      <c r="K6" s="182"/>
      <c r="L6" s="183"/>
    </row>
    <row r="7" spans="1:12" x14ac:dyDescent="0.3">
      <c r="A7" s="1575" t="s">
        <v>338</v>
      </c>
      <c r="B7" s="167" t="s">
        <v>57</v>
      </c>
      <c r="C7" s="168">
        <v>274</v>
      </c>
      <c r="D7" s="168">
        <f t="shared" ref="D7:D8" si="1">+ROUNDUP(C7/(1.05),0)</f>
        <v>261</v>
      </c>
      <c r="E7" s="1571">
        <v>6</v>
      </c>
      <c r="F7" s="1578">
        <f>+(D7+D8)/E7</f>
        <v>65.333333333333329</v>
      </c>
      <c r="G7" s="34"/>
      <c r="H7" s="34"/>
      <c r="I7" s="34"/>
      <c r="J7" s="34"/>
      <c r="K7" s="34"/>
      <c r="L7" s="34"/>
    </row>
    <row r="8" spans="1:12" x14ac:dyDescent="0.3">
      <c r="A8" s="1576"/>
      <c r="B8" s="159" t="s">
        <v>108</v>
      </c>
      <c r="C8" s="160">
        <f>+C7*0.5</f>
        <v>137</v>
      </c>
      <c r="D8" s="160">
        <f t="shared" si="1"/>
        <v>131</v>
      </c>
      <c r="E8" s="1572"/>
      <c r="F8" s="1579"/>
      <c r="G8" s="34"/>
      <c r="H8" s="34"/>
      <c r="I8" s="34"/>
      <c r="J8" s="34"/>
      <c r="K8" s="34"/>
      <c r="L8" s="34"/>
    </row>
    <row r="9" spans="1:12" ht="15" thickBot="1" x14ac:dyDescent="0.35">
      <c r="A9" s="1577"/>
      <c r="B9" s="161" t="s">
        <v>47</v>
      </c>
      <c r="C9" s="169">
        <f>SUM(C7:C8)</f>
        <v>411</v>
      </c>
      <c r="D9" s="170">
        <f>SUM(D7:D8)</f>
        <v>392</v>
      </c>
      <c r="E9" s="171">
        <f>SUM(E7:E8)</f>
        <v>6</v>
      </c>
      <c r="F9" s="1580"/>
      <c r="G9" s="34"/>
      <c r="H9" s="34"/>
      <c r="I9" s="34"/>
      <c r="J9" s="34"/>
      <c r="K9" s="34"/>
      <c r="L9" s="34"/>
    </row>
    <row r="10" spans="1:12" ht="15" thickBot="1" x14ac:dyDescent="0.35">
      <c r="A10" s="172" t="s">
        <v>352</v>
      </c>
      <c r="B10" s="173" t="s">
        <v>2</v>
      </c>
      <c r="C10" s="174">
        <f>+C6+C9</f>
        <v>822</v>
      </c>
      <c r="D10" s="174">
        <f>+D6+D9</f>
        <v>784</v>
      </c>
      <c r="E10" s="175">
        <f>+E6+E9</f>
        <v>12</v>
      </c>
      <c r="F10" s="176">
        <f>+(F7+F4)/2</f>
        <v>65.333333333333329</v>
      </c>
      <c r="G10" s="34"/>
      <c r="H10" s="34"/>
      <c r="I10" s="34"/>
      <c r="J10" s="34"/>
      <c r="K10" s="34"/>
      <c r="L10" s="34"/>
    </row>
    <row r="11" spans="1:12" ht="15" thickBot="1" x14ac:dyDescent="0.35">
      <c r="A11" s="55"/>
      <c r="B11" s="185"/>
      <c r="C11" s="185"/>
      <c r="D11" s="185"/>
      <c r="E11" s="185"/>
      <c r="F11" s="185"/>
      <c r="G11" s="34"/>
      <c r="H11" s="34"/>
      <c r="I11" s="34"/>
      <c r="J11" s="34"/>
      <c r="K11" s="34"/>
      <c r="L11" s="34"/>
    </row>
    <row r="12" spans="1:12" ht="17.399999999999999" x14ac:dyDescent="0.3">
      <c r="A12" s="1588" t="s">
        <v>354</v>
      </c>
      <c r="B12" s="1589"/>
      <c r="C12" s="1589"/>
      <c r="D12" s="1589"/>
      <c r="E12" s="1589"/>
      <c r="F12" s="1590"/>
      <c r="G12" s="34"/>
      <c r="H12" s="34"/>
      <c r="I12" s="34"/>
      <c r="J12" s="34"/>
      <c r="K12" s="34"/>
      <c r="L12" s="34"/>
    </row>
    <row r="13" spans="1:12" ht="15.6" x14ac:dyDescent="0.3">
      <c r="A13" s="1584" t="s">
        <v>299</v>
      </c>
      <c r="B13" s="1585"/>
      <c r="C13" s="1585"/>
      <c r="D13" s="1585"/>
      <c r="E13" s="1585"/>
      <c r="F13" s="1586"/>
      <c r="G13" s="34"/>
      <c r="H13" s="34"/>
      <c r="I13" s="34"/>
      <c r="J13" s="34"/>
      <c r="K13" s="34"/>
      <c r="L13" s="34"/>
    </row>
    <row r="14" spans="1:12" ht="27" thickBot="1" x14ac:dyDescent="0.35">
      <c r="A14" s="187" t="s">
        <v>342</v>
      </c>
      <c r="B14" s="163" t="s">
        <v>26</v>
      </c>
      <c r="C14" s="163" t="s">
        <v>46</v>
      </c>
      <c r="D14" s="163" t="s">
        <v>18</v>
      </c>
      <c r="E14" s="163" t="s">
        <v>54</v>
      </c>
      <c r="F14" s="164" t="s">
        <v>353</v>
      </c>
      <c r="G14" s="34"/>
      <c r="H14" s="34"/>
      <c r="I14" s="34"/>
      <c r="J14" s="34"/>
      <c r="K14" s="34"/>
      <c r="L14" s="34"/>
    </row>
    <row r="15" spans="1:12" x14ac:dyDescent="0.3">
      <c r="A15" s="1575" t="s">
        <v>337</v>
      </c>
      <c r="B15" s="167" t="s">
        <v>55</v>
      </c>
      <c r="C15" s="168">
        <f>289.1*2</f>
        <v>578.20000000000005</v>
      </c>
      <c r="D15" s="168">
        <f t="shared" ref="D15:D18" si="2">+ROUNDUP(C15/(1.05),0)</f>
        <v>551</v>
      </c>
      <c r="E15" s="1571">
        <v>13</v>
      </c>
      <c r="F15" s="1578">
        <f>+(D15+D16)/E15</f>
        <v>63.615384615384613</v>
      </c>
      <c r="G15" s="34"/>
      <c r="H15" s="34"/>
      <c r="I15" s="34"/>
      <c r="J15" s="34"/>
      <c r="K15" s="34"/>
      <c r="L15" s="34"/>
    </row>
    <row r="16" spans="1:12" x14ac:dyDescent="0.3">
      <c r="A16" s="1576"/>
      <c r="B16" s="159" t="s">
        <v>106</v>
      </c>
      <c r="C16" s="160">
        <f>+C15*0.5</f>
        <v>289.10000000000002</v>
      </c>
      <c r="D16" s="160">
        <f t="shared" si="2"/>
        <v>276</v>
      </c>
      <c r="E16" s="1572"/>
      <c r="F16" s="1579"/>
      <c r="G16" s="34"/>
      <c r="H16" s="34"/>
      <c r="I16" s="34"/>
      <c r="J16" s="34"/>
      <c r="K16" s="34"/>
      <c r="L16" s="34"/>
    </row>
    <row r="17" spans="1:12" x14ac:dyDescent="0.3">
      <c r="A17" s="1576"/>
      <c r="B17" s="159" t="s">
        <v>56</v>
      </c>
      <c r="C17" s="160">
        <f>289.1*2</f>
        <v>578.20000000000005</v>
      </c>
      <c r="D17" s="160">
        <f t="shared" si="2"/>
        <v>551</v>
      </c>
      <c r="E17" s="1572">
        <v>13</v>
      </c>
      <c r="F17" s="1579"/>
      <c r="G17" s="34"/>
      <c r="H17" s="34"/>
      <c r="I17" s="34"/>
      <c r="J17" s="34"/>
      <c r="K17" s="34"/>
      <c r="L17" s="34"/>
    </row>
    <row r="18" spans="1:12" x14ac:dyDescent="0.3">
      <c r="A18" s="1576"/>
      <c r="B18" s="159" t="s">
        <v>107</v>
      </c>
      <c r="C18" s="160">
        <f>+C17*0.5</f>
        <v>289.10000000000002</v>
      </c>
      <c r="D18" s="160">
        <f t="shared" si="2"/>
        <v>276</v>
      </c>
      <c r="E18" s="1572"/>
      <c r="F18" s="1579"/>
      <c r="G18" s="34"/>
      <c r="H18" s="34"/>
      <c r="I18" s="34"/>
      <c r="J18" s="34"/>
      <c r="K18" s="34"/>
      <c r="L18" s="34"/>
    </row>
    <row r="19" spans="1:12" ht="15" thickBot="1" x14ac:dyDescent="0.35">
      <c r="A19" s="1577"/>
      <c r="B19" s="161" t="s">
        <v>47</v>
      </c>
      <c r="C19" s="169">
        <f>SUM(C15:C18)</f>
        <v>1734.6</v>
      </c>
      <c r="D19" s="170">
        <f>SUM(D15:D18)</f>
        <v>1654</v>
      </c>
      <c r="E19" s="171">
        <f>SUM(E15:E18)</f>
        <v>26</v>
      </c>
      <c r="F19" s="1580"/>
      <c r="G19" s="34"/>
      <c r="H19" s="34"/>
      <c r="I19" s="34"/>
      <c r="J19" s="34"/>
      <c r="K19" s="34"/>
      <c r="L19" s="34"/>
    </row>
    <row r="20" spans="1:12" x14ac:dyDescent="0.3">
      <c r="A20" s="1576" t="s">
        <v>338</v>
      </c>
      <c r="B20" s="165" t="s">
        <v>58</v>
      </c>
      <c r="C20" s="166">
        <f>289.1*2</f>
        <v>578.20000000000005</v>
      </c>
      <c r="D20" s="166">
        <f t="shared" ref="D20:D23" si="3">+ROUNDUP(C20/(1.05),0)</f>
        <v>551</v>
      </c>
      <c r="E20" s="1587">
        <v>13</v>
      </c>
      <c r="F20" s="1578">
        <f>+(D20+D21)/E20</f>
        <v>63.615384615384613</v>
      </c>
      <c r="G20" s="34"/>
      <c r="H20" s="34"/>
      <c r="I20" s="34"/>
      <c r="J20" s="34"/>
      <c r="K20" s="34"/>
      <c r="L20" s="34"/>
    </row>
    <row r="21" spans="1:12" x14ac:dyDescent="0.3">
      <c r="A21" s="1576"/>
      <c r="B21" s="159" t="s">
        <v>109</v>
      </c>
      <c r="C21" s="160">
        <f>+C20*0.5</f>
        <v>289.10000000000002</v>
      </c>
      <c r="D21" s="160">
        <f t="shared" si="3"/>
        <v>276</v>
      </c>
      <c r="E21" s="1572"/>
      <c r="F21" s="1579"/>
      <c r="G21" s="34"/>
      <c r="H21" s="34"/>
      <c r="I21" s="34"/>
      <c r="J21" s="34"/>
      <c r="K21" s="34"/>
      <c r="L21" s="34"/>
    </row>
    <row r="22" spans="1:12" x14ac:dyDescent="0.3">
      <c r="A22" s="1576"/>
      <c r="B22" s="159" t="s">
        <v>59</v>
      </c>
      <c r="C22" s="160">
        <f>289.1*2</f>
        <v>578.20000000000005</v>
      </c>
      <c r="D22" s="160">
        <f t="shared" si="3"/>
        <v>551</v>
      </c>
      <c r="E22" s="1572">
        <v>13</v>
      </c>
      <c r="F22" s="1579"/>
      <c r="G22" s="34"/>
      <c r="H22" s="34"/>
      <c r="I22" s="34"/>
      <c r="J22" s="34"/>
      <c r="K22" s="34"/>
      <c r="L22" s="34"/>
    </row>
    <row r="23" spans="1:12" x14ac:dyDescent="0.3">
      <c r="A23" s="1576"/>
      <c r="B23" s="159" t="s">
        <v>110</v>
      </c>
      <c r="C23" s="160">
        <f>+C22*0.5</f>
        <v>289.10000000000002</v>
      </c>
      <c r="D23" s="160">
        <f t="shared" si="3"/>
        <v>276</v>
      </c>
      <c r="E23" s="1572"/>
      <c r="F23" s="1579"/>
      <c r="G23" s="34"/>
      <c r="H23" s="34"/>
      <c r="I23" s="34"/>
      <c r="J23" s="34"/>
      <c r="K23" s="34"/>
      <c r="L23" s="34"/>
    </row>
    <row r="24" spans="1:12" ht="15" thickBot="1" x14ac:dyDescent="0.35">
      <c r="A24" s="1576"/>
      <c r="B24" s="192" t="s">
        <v>47</v>
      </c>
      <c r="C24" s="193">
        <f>SUM(C20:C23)</f>
        <v>1734.6</v>
      </c>
      <c r="D24" s="194">
        <f>SUM(D20:D23)</f>
        <v>1654</v>
      </c>
      <c r="E24" s="195">
        <f>SUM(E20:E23)</f>
        <v>26</v>
      </c>
      <c r="F24" s="1580"/>
      <c r="G24" s="34"/>
      <c r="H24" s="34"/>
      <c r="I24" s="34"/>
      <c r="J24" s="34"/>
      <c r="K24" s="34"/>
      <c r="L24" s="34"/>
    </row>
    <row r="25" spans="1:12" ht="15" thickBot="1" x14ac:dyDescent="0.35">
      <c r="A25" s="188" t="s">
        <v>352</v>
      </c>
      <c r="B25" s="189" t="s">
        <v>2</v>
      </c>
      <c r="C25" s="190">
        <f>+C19+C24</f>
        <v>3469.2</v>
      </c>
      <c r="D25" s="190">
        <f>+D19+D24</f>
        <v>3308</v>
      </c>
      <c r="E25" s="191">
        <f>+E19+E24</f>
        <v>52</v>
      </c>
      <c r="F25" s="176">
        <f>+(F15+F20)/2</f>
        <v>63.615384615384613</v>
      </c>
      <c r="G25" s="34"/>
      <c r="H25" s="34"/>
      <c r="I25" s="34"/>
      <c r="J25" s="34"/>
      <c r="K25" s="34"/>
      <c r="L25" s="34"/>
    </row>
    <row r="26" spans="1:12" x14ac:dyDescent="0.3"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 x14ac:dyDescent="0.3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x14ac:dyDescent="0.3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3"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 x14ac:dyDescent="0.3"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  <row r="31" spans="1:12" ht="15.6" x14ac:dyDescent="0.3">
      <c r="B31" s="156"/>
      <c r="C31" s="156"/>
      <c r="D31" s="155"/>
      <c r="E31" s="155"/>
      <c r="F31" s="157"/>
      <c r="G31" s="155"/>
      <c r="H31" s="155"/>
      <c r="I31" s="157"/>
      <c r="J31" s="155"/>
      <c r="K31" s="155"/>
      <c r="L31" s="157"/>
    </row>
  </sheetData>
  <sheetProtection algorithmName="SHA-512" hashValue="Vmb6NOAtEgeiMWeNxytZnAliG1P55CgK5/rkb9FW0KY5gQarHbbePN5vy/sueP+b7YaFf7iD0t3mbq1j6hC1xQ==" saltValue="Of799jprhENdIm9c0tz4Pw==" spinCount="100000" sheet="1" objects="1" scenarios="1" selectLockedCells="1" selectUnlockedCells="1"/>
  <mergeCells count="19">
    <mergeCell ref="A20:A24"/>
    <mergeCell ref="F15:F19"/>
    <mergeCell ref="F20:F24"/>
    <mergeCell ref="A2:F2"/>
    <mergeCell ref="A13:F13"/>
    <mergeCell ref="E17:E18"/>
    <mergeCell ref="E20:E21"/>
    <mergeCell ref="E22:E23"/>
    <mergeCell ref="A4:A6"/>
    <mergeCell ref="A7:A9"/>
    <mergeCell ref="F4:F6"/>
    <mergeCell ref="F7:F9"/>
    <mergeCell ref="A12:F12"/>
    <mergeCell ref="H1:L1"/>
    <mergeCell ref="E7:E8"/>
    <mergeCell ref="E15:E16"/>
    <mergeCell ref="E4:E5"/>
    <mergeCell ref="A1:F1"/>
    <mergeCell ref="A15:A19"/>
  </mergeCells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48"/>
  <sheetViews>
    <sheetView zoomScaleNormal="100" workbookViewId="0">
      <selection activeCell="L32" sqref="L32"/>
    </sheetView>
  </sheetViews>
  <sheetFormatPr baseColWidth="10" defaultColWidth="11.44140625" defaultRowHeight="13.2" x14ac:dyDescent="0.3"/>
  <cols>
    <col min="1" max="1" width="11.5546875" style="60" customWidth="1"/>
    <col min="2" max="2" width="9.6640625" style="60" customWidth="1"/>
    <col min="3" max="3" width="11.6640625" style="60" bestFit="1" customWidth="1"/>
    <col min="4" max="4" width="12.88671875" style="60" bestFit="1" customWidth="1"/>
    <col min="5" max="5" width="10.109375" style="60" customWidth="1"/>
    <col min="6" max="6" width="7.109375" style="60" bestFit="1" customWidth="1"/>
    <col min="7" max="7" width="11.6640625" style="60" bestFit="1" customWidth="1"/>
    <col min="8" max="8" width="10.88671875" style="60" bestFit="1" customWidth="1"/>
    <col min="9" max="9" width="5.6640625" style="60" bestFit="1" customWidth="1"/>
    <col min="10" max="10" width="14.33203125" style="60" bestFit="1" customWidth="1"/>
    <col min="11" max="11" width="6.88671875" style="60" bestFit="1" customWidth="1"/>
    <col min="12" max="16384" width="11.44140625" style="60"/>
  </cols>
  <sheetData>
    <row r="1" spans="1:10" ht="17.399999999999999" x14ac:dyDescent="0.3">
      <c r="A1" s="1227" t="s">
        <v>360</v>
      </c>
      <c r="B1" s="1228"/>
      <c r="C1" s="1228"/>
      <c r="D1" s="1228"/>
      <c r="E1" s="1228"/>
      <c r="F1" s="1228"/>
      <c r="G1" s="1228"/>
      <c r="H1" s="1229"/>
    </row>
    <row r="2" spans="1:10" ht="15.6" x14ac:dyDescent="0.3">
      <c r="A2" s="1230" t="s">
        <v>299</v>
      </c>
      <c r="B2" s="1231"/>
      <c r="C2" s="1231"/>
      <c r="D2" s="1231"/>
      <c r="E2" s="1231"/>
      <c r="F2" s="1231"/>
      <c r="G2" s="1231"/>
      <c r="H2" s="1232"/>
    </row>
    <row r="3" spans="1:10" ht="26.4" x14ac:dyDescent="0.3">
      <c r="A3" s="212" t="s">
        <v>62</v>
      </c>
      <c r="B3" s="158" t="s">
        <v>23</v>
      </c>
      <c r="C3" s="245" t="s">
        <v>46</v>
      </c>
      <c r="D3" s="245" t="s">
        <v>18</v>
      </c>
      <c r="E3" s="158" t="s">
        <v>69</v>
      </c>
      <c r="F3" s="158" t="s">
        <v>65</v>
      </c>
      <c r="G3" s="245" t="s">
        <v>63</v>
      </c>
      <c r="H3" s="162" t="s">
        <v>64</v>
      </c>
    </row>
    <row r="4" spans="1:10" x14ac:dyDescent="0.3">
      <c r="A4" s="213" t="s">
        <v>60</v>
      </c>
      <c r="B4" s="214" t="s">
        <v>30</v>
      </c>
      <c r="C4" s="215">
        <v>1332</v>
      </c>
      <c r="D4" s="215">
        <f>+ROUNDUP(C4/1.05,0)</f>
        <v>1269</v>
      </c>
      <c r="E4" s="216">
        <v>1</v>
      </c>
      <c r="F4" s="216">
        <v>1</v>
      </c>
      <c r="G4" s="215">
        <f>+C4*F4</f>
        <v>1332</v>
      </c>
      <c r="H4" s="196">
        <f>+D4*F4</f>
        <v>1269</v>
      </c>
    </row>
    <row r="5" spans="1:10" x14ac:dyDescent="0.3">
      <c r="A5" s="213" t="s">
        <v>61</v>
      </c>
      <c r="B5" s="214" t="s">
        <v>30</v>
      </c>
      <c r="C5" s="215">
        <v>1332</v>
      </c>
      <c r="D5" s="215">
        <f>+ROUNDUP(C5/1.2,0)</f>
        <v>1110</v>
      </c>
      <c r="E5" s="216">
        <v>2</v>
      </c>
      <c r="F5" s="216">
        <v>1</v>
      </c>
      <c r="G5" s="215">
        <f>+C5*F5</f>
        <v>1332</v>
      </c>
      <c r="H5" s="196">
        <f>+D5*F5</f>
        <v>1110</v>
      </c>
    </row>
    <row r="6" spans="1:10" ht="13.8" thickBot="1" x14ac:dyDescent="0.35">
      <c r="A6" s="1591" t="s">
        <v>47</v>
      </c>
      <c r="B6" s="1592"/>
      <c r="C6" s="1592"/>
      <c r="D6" s="1592"/>
      <c r="E6" s="1592"/>
      <c r="F6" s="1592"/>
      <c r="G6" s="199">
        <f>SUM(G4:G5)</f>
        <v>2664</v>
      </c>
      <c r="H6" s="218">
        <f>SUM(H4:H5)</f>
        <v>2379</v>
      </c>
      <c r="I6" s="219"/>
      <c r="J6" s="219"/>
    </row>
    <row r="7" spans="1:10" ht="13.8" thickBot="1" x14ac:dyDescent="0.35"/>
    <row r="8" spans="1:10" ht="17.399999999999999" x14ac:dyDescent="0.3">
      <c r="A8" s="1227" t="s">
        <v>359</v>
      </c>
      <c r="B8" s="1228"/>
      <c r="C8" s="1228"/>
      <c r="D8" s="1228"/>
      <c r="E8" s="1228"/>
      <c r="F8" s="1228"/>
      <c r="G8" s="1228"/>
      <c r="H8" s="1229"/>
      <c r="J8" s="219"/>
    </row>
    <row r="9" spans="1:10" ht="15.6" x14ac:dyDescent="0.3">
      <c r="A9" s="1230" t="s">
        <v>299</v>
      </c>
      <c r="B9" s="1231"/>
      <c r="C9" s="1231"/>
      <c r="D9" s="1231"/>
      <c r="E9" s="1231"/>
      <c r="F9" s="1231"/>
      <c r="G9" s="1231"/>
      <c r="H9" s="1232"/>
    </row>
    <row r="10" spans="1:10" ht="26.4" x14ac:dyDescent="0.3">
      <c r="A10" s="212" t="s">
        <v>62</v>
      </c>
      <c r="B10" s="158" t="s">
        <v>23</v>
      </c>
      <c r="C10" s="245" t="s">
        <v>46</v>
      </c>
      <c r="D10" s="245" t="s">
        <v>18</v>
      </c>
      <c r="E10" s="158" t="s">
        <v>69</v>
      </c>
      <c r="F10" s="158" t="s">
        <v>65</v>
      </c>
      <c r="G10" s="245" t="s">
        <v>63</v>
      </c>
      <c r="H10" s="162" t="s">
        <v>64</v>
      </c>
    </row>
    <row r="11" spans="1:10" x14ac:dyDescent="0.3">
      <c r="A11" s="1593" t="s">
        <v>60</v>
      </c>
      <c r="B11" s="220" t="s">
        <v>115</v>
      </c>
      <c r="C11" s="221">
        <v>164</v>
      </c>
      <c r="D11" s="221">
        <f>+ROUNDUP(C11/1.05,0)</f>
        <v>157</v>
      </c>
      <c r="E11" s="222">
        <v>1</v>
      </c>
      <c r="F11" s="222">
        <v>1</v>
      </c>
      <c r="G11" s="221">
        <f t="shared" ref="G11:G14" si="0">+C11*F11</f>
        <v>164</v>
      </c>
      <c r="H11" s="223">
        <f t="shared" ref="H11:H14" si="1">+D11*F11</f>
        <v>157</v>
      </c>
    </row>
    <row r="12" spans="1:10" x14ac:dyDescent="0.3">
      <c r="A12" s="1594"/>
      <c r="B12" s="214" t="s">
        <v>32</v>
      </c>
      <c r="C12" s="215">
        <v>576</v>
      </c>
      <c r="D12" s="215">
        <f>+ROUNDUP(C12/1.05,0)</f>
        <v>549</v>
      </c>
      <c r="E12" s="216">
        <v>1</v>
      </c>
      <c r="F12" s="216">
        <v>1</v>
      </c>
      <c r="G12" s="215">
        <f t="shared" si="0"/>
        <v>576</v>
      </c>
      <c r="H12" s="196">
        <f t="shared" si="1"/>
        <v>549</v>
      </c>
    </row>
    <row r="13" spans="1:10" x14ac:dyDescent="0.3">
      <c r="A13" s="1593" t="s">
        <v>61</v>
      </c>
      <c r="B13" s="220" t="s">
        <v>115</v>
      </c>
      <c r="C13" s="221">
        <v>164</v>
      </c>
      <c r="D13" s="221">
        <f>+ROUNDUP(C13/1.2,0)</f>
        <v>137</v>
      </c>
      <c r="E13" s="222">
        <v>2</v>
      </c>
      <c r="F13" s="222">
        <v>1</v>
      </c>
      <c r="G13" s="221">
        <f t="shared" si="0"/>
        <v>164</v>
      </c>
      <c r="H13" s="223">
        <f t="shared" si="1"/>
        <v>137</v>
      </c>
    </row>
    <row r="14" spans="1:10" x14ac:dyDescent="0.3">
      <c r="A14" s="1594"/>
      <c r="B14" s="214" t="s">
        <v>32</v>
      </c>
      <c r="C14" s="215">
        <v>576</v>
      </c>
      <c r="D14" s="215">
        <f>+ROUNDUP(C14/1.2,0)</f>
        <v>480</v>
      </c>
      <c r="E14" s="216">
        <v>2</v>
      </c>
      <c r="F14" s="216">
        <v>1</v>
      </c>
      <c r="G14" s="215">
        <f t="shared" si="0"/>
        <v>576</v>
      </c>
      <c r="H14" s="196">
        <f t="shared" si="1"/>
        <v>480</v>
      </c>
    </row>
    <row r="15" spans="1:10" ht="13.8" thickBot="1" x14ac:dyDescent="0.35">
      <c r="A15" s="1591" t="s">
        <v>47</v>
      </c>
      <c r="B15" s="1592"/>
      <c r="C15" s="1592"/>
      <c r="D15" s="1592"/>
      <c r="E15" s="1592"/>
      <c r="F15" s="1592"/>
      <c r="G15" s="199">
        <f>SUM(G11:G14)</f>
        <v>1480</v>
      </c>
      <c r="H15" s="218">
        <f>SUM(H11:H14)</f>
        <v>1323</v>
      </c>
    </row>
    <row r="16" spans="1:10" ht="13.8" thickBot="1" x14ac:dyDescent="0.35">
      <c r="A16" s="98"/>
      <c r="B16" s="98"/>
      <c r="C16" s="98"/>
      <c r="D16" s="98"/>
      <c r="E16" s="98"/>
      <c r="F16" s="98"/>
      <c r="G16" s="224"/>
      <c r="H16" s="224"/>
    </row>
    <row r="17" spans="1:9" ht="17.399999999999999" x14ac:dyDescent="0.3">
      <c r="A17" s="1606" t="s">
        <v>358</v>
      </c>
      <c r="B17" s="1607"/>
      <c r="C17" s="1607"/>
      <c r="D17" s="1607"/>
      <c r="E17" s="1607"/>
      <c r="F17" s="1607"/>
      <c r="G17" s="1607"/>
      <c r="H17" s="1607"/>
      <c r="I17" s="1608"/>
    </row>
    <row r="18" spans="1:9" ht="15.6" x14ac:dyDescent="0.3">
      <c r="A18" s="1582" t="s">
        <v>299</v>
      </c>
      <c r="B18" s="1582"/>
      <c r="C18" s="1582"/>
      <c r="D18" s="1582"/>
      <c r="E18" s="1582"/>
      <c r="F18" s="1582"/>
      <c r="G18" s="1582"/>
      <c r="H18" s="1582"/>
      <c r="I18" s="1583"/>
    </row>
    <row r="19" spans="1:9" ht="15" customHeight="1" x14ac:dyDescent="0.3">
      <c r="A19" s="1609" t="s">
        <v>337</v>
      </c>
      <c r="B19" s="1610"/>
      <c r="C19" s="1610"/>
      <c r="D19" s="1611" t="s">
        <v>338</v>
      </c>
      <c r="E19" s="1610"/>
      <c r="F19" s="1612"/>
      <c r="G19" s="1595" t="s">
        <v>2</v>
      </c>
      <c r="H19" s="1596"/>
      <c r="I19" s="1597"/>
    </row>
    <row r="20" spans="1:9" ht="20.399999999999999" x14ac:dyDescent="0.3">
      <c r="A20" s="248" t="s">
        <v>46</v>
      </c>
      <c r="B20" s="248" t="s">
        <v>18</v>
      </c>
      <c r="C20" s="232" t="s">
        <v>5</v>
      </c>
      <c r="D20" s="247" t="s">
        <v>46</v>
      </c>
      <c r="E20" s="248" t="s">
        <v>18</v>
      </c>
      <c r="F20" s="235" t="s">
        <v>5</v>
      </c>
      <c r="G20" s="249" t="s">
        <v>46</v>
      </c>
      <c r="H20" s="248" t="s">
        <v>18</v>
      </c>
      <c r="I20" s="225" t="s">
        <v>5</v>
      </c>
    </row>
    <row r="21" spans="1:9" ht="13.8" thickBot="1" x14ac:dyDescent="0.35">
      <c r="A21" s="226">
        <f>+G6</f>
        <v>2664</v>
      </c>
      <c r="B21" s="226">
        <f>+H6</f>
        <v>2379</v>
      </c>
      <c r="C21" s="233">
        <f>+B21*I21/H21</f>
        <v>0.64262560777957856</v>
      </c>
      <c r="D21" s="236">
        <f>+G15</f>
        <v>1480</v>
      </c>
      <c r="E21" s="226">
        <f>+H15</f>
        <v>1323</v>
      </c>
      <c r="F21" s="237">
        <f>+E21*I21/H21</f>
        <v>0.35737439222042139</v>
      </c>
      <c r="G21" s="234">
        <f>+A21+D21</f>
        <v>4144</v>
      </c>
      <c r="H21" s="227">
        <f>+B21+E21</f>
        <v>3702</v>
      </c>
      <c r="I21" s="228">
        <v>1</v>
      </c>
    </row>
    <row r="23" spans="1:9" ht="13.8" thickBot="1" x14ac:dyDescent="0.35"/>
    <row r="24" spans="1:9" ht="17.399999999999999" x14ac:dyDescent="0.3">
      <c r="A24" s="1600" t="s">
        <v>360</v>
      </c>
      <c r="B24" s="1601"/>
      <c r="C24" s="1601"/>
      <c r="D24" s="1601"/>
      <c r="E24" s="1601"/>
      <c r="F24" s="1601"/>
      <c r="G24" s="1601"/>
      <c r="H24" s="1602"/>
    </row>
    <row r="25" spans="1:9" ht="15.6" x14ac:dyDescent="0.3">
      <c r="A25" s="1603" t="s">
        <v>300</v>
      </c>
      <c r="B25" s="1604"/>
      <c r="C25" s="1604"/>
      <c r="D25" s="1604"/>
      <c r="E25" s="1604"/>
      <c r="F25" s="1604"/>
      <c r="G25" s="1604"/>
      <c r="H25" s="1605"/>
    </row>
    <row r="26" spans="1:9" ht="26.4" x14ac:dyDescent="0.3">
      <c r="A26" s="241" t="s">
        <v>62</v>
      </c>
      <c r="B26" s="242" t="s">
        <v>23</v>
      </c>
      <c r="C26" s="246" t="s">
        <v>46</v>
      </c>
      <c r="D26" s="246" t="s">
        <v>18</v>
      </c>
      <c r="E26" s="242" t="s">
        <v>69</v>
      </c>
      <c r="F26" s="242" t="s">
        <v>65</v>
      </c>
      <c r="G26" s="246" t="s">
        <v>63</v>
      </c>
      <c r="H26" s="250" t="s">
        <v>64</v>
      </c>
    </row>
    <row r="27" spans="1:9" ht="26.4" x14ac:dyDescent="0.3">
      <c r="A27" s="231" t="s">
        <v>70</v>
      </c>
      <c r="B27" s="220" t="s">
        <v>30</v>
      </c>
      <c r="C27" s="221">
        <v>1332</v>
      </c>
      <c r="D27" s="221">
        <f>+ROUNDUP(C27/1.2,0)</f>
        <v>1110</v>
      </c>
      <c r="E27" s="216" t="s">
        <v>66</v>
      </c>
      <c r="F27" s="216">
        <v>9</v>
      </c>
      <c r="G27" s="221">
        <f>+C27*F27</f>
        <v>11988</v>
      </c>
      <c r="H27" s="223">
        <f>+D27*F27</f>
        <v>9990</v>
      </c>
    </row>
    <row r="28" spans="1:9" ht="13.8" thickBot="1" x14ac:dyDescent="0.35">
      <c r="A28" s="1598" t="s">
        <v>47</v>
      </c>
      <c r="B28" s="1599"/>
      <c r="C28" s="1599"/>
      <c r="D28" s="1599"/>
      <c r="E28" s="1599"/>
      <c r="F28" s="1599"/>
      <c r="G28" s="243">
        <f>SUM(G27:G27)</f>
        <v>11988</v>
      </c>
      <c r="H28" s="244">
        <f>SUM(H27:H27)</f>
        <v>9990</v>
      </c>
    </row>
    <row r="29" spans="1:9" ht="13.8" thickBot="1" x14ac:dyDescent="0.35"/>
    <row r="30" spans="1:9" ht="17.399999999999999" x14ac:dyDescent="0.3">
      <c r="A30" s="1600" t="s">
        <v>359</v>
      </c>
      <c r="B30" s="1601"/>
      <c r="C30" s="1601"/>
      <c r="D30" s="1601"/>
      <c r="E30" s="1601"/>
      <c r="F30" s="1601"/>
      <c r="G30" s="1601"/>
      <c r="H30" s="1602"/>
    </row>
    <row r="31" spans="1:9" ht="15.6" x14ac:dyDescent="0.3">
      <c r="A31" s="1603" t="s">
        <v>300</v>
      </c>
      <c r="B31" s="1604"/>
      <c r="C31" s="1604"/>
      <c r="D31" s="1604"/>
      <c r="E31" s="1604"/>
      <c r="F31" s="1604"/>
      <c r="G31" s="1604"/>
      <c r="H31" s="1605"/>
    </row>
    <row r="32" spans="1:9" ht="26.4" x14ac:dyDescent="0.3">
      <c r="A32" s="241" t="s">
        <v>62</v>
      </c>
      <c r="B32" s="242" t="s">
        <v>23</v>
      </c>
      <c r="C32" s="246" t="s">
        <v>46</v>
      </c>
      <c r="D32" s="246" t="s">
        <v>18</v>
      </c>
      <c r="E32" s="242" t="s">
        <v>69</v>
      </c>
      <c r="F32" s="242" t="s">
        <v>65</v>
      </c>
      <c r="G32" s="246" t="s">
        <v>63</v>
      </c>
      <c r="H32" s="250" t="s">
        <v>64</v>
      </c>
    </row>
    <row r="33" spans="1:12" ht="12.75" customHeight="1" x14ac:dyDescent="0.3">
      <c r="A33" s="1616" t="s">
        <v>70</v>
      </c>
      <c r="B33" s="220" t="s">
        <v>115</v>
      </c>
      <c r="C33" s="221">
        <v>164</v>
      </c>
      <c r="D33" s="221">
        <f>+ROUNDUP(C33/1.2,0)</f>
        <v>137</v>
      </c>
      <c r="E33" s="222" t="s">
        <v>361</v>
      </c>
      <c r="F33" s="222">
        <v>5</v>
      </c>
      <c r="G33" s="221">
        <f>+C33*F33</f>
        <v>820</v>
      </c>
      <c r="H33" s="223">
        <f>+D33*F33</f>
        <v>685</v>
      </c>
      <c r="I33" s="219"/>
    </row>
    <row r="34" spans="1:12" x14ac:dyDescent="0.3">
      <c r="A34" s="1617"/>
      <c r="B34" s="214" t="s">
        <v>32</v>
      </c>
      <c r="C34" s="215">
        <v>576</v>
      </c>
      <c r="D34" s="215">
        <f>+ROUNDUP(C34/1.2,0)</f>
        <v>480</v>
      </c>
      <c r="E34" s="216" t="s">
        <v>67</v>
      </c>
      <c r="F34" s="216">
        <v>7</v>
      </c>
      <c r="G34" s="215">
        <f>+C34*F34</f>
        <v>4032</v>
      </c>
      <c r="H34" s="196">
        <f>+D34*F34</f>
        <v>3360</v>
      </c>
    </row>
    <row r="35" spans="1:12" ht="13.8" thickBot="1" x14ac:dyDescent="0.35">
      <c r="A35" s="1598" t="s">
        <v>47</v>
      </c>
      <c r="B35" s="1599"/>
      <c r="C35" s="1599"/>
      <c r="D35" s="1599"/>
      <c r="E35" s="1599"/>
      <c r="F35" s="1599"/>
      <c r="G35" s="243">
        <f>SUM(G33:G34)</f>
        <v>4852</v>
      </c>
      <c r="H35" s="244">
        <f>SUM(H33:H34)</f>
        <v>4045</v>
      </c>
      <c r="J35" s="219"/>
    </row>
    <row r="36" spans="1:12" ht="13.8" thickBot="1" x14ac:dyDescent="0.35"/>
    <row r="37" spans="1:12" ht="17.399999999999999" x14ac:dyDescent="0.3">
      <c r="A37" s="1600" t="s">
        <v>358</v>
      </c>
      <c r="B37" s="1601"/>
      <c r="C37" s="1601"/>
      <c r="D37" s="1601"/>
      <c r="E37" s="1601"/>
      <c r="F37" s="1601"/>
      <c r="G37" s="1601"/>
      <c r="H37" s="1601"/>
      <c r="I37" s="1602"/>
    </row>
    <row r="38" spans="1:12" ht="15.6" x14ac:dyDescent="0.3">
      <c r="A38" s="1603" t="s">
        <v>300</v>
      </c>
      <c r="B38" s="1604"/>
      <c r="C38" s="1604"/>
      <c r="D38" s="1604"/>
      <c r="E38" s="1604"/>
      <c r="F38" s="1604"/>
      <c r="G38" s="1604"/>
      <c r="H38" s="1604"/>
      <c r="I38" s="1605"/>
    </row>
    <row r="39" spans="1:12" ht="15" customHeight="1" x14ac:dyDescent="0.3">
      <c r="A39" s="1618" t="s">
        <v>337</v>
      </c>
      <c r="B39" s="1619"/>
      <c r="C39" s="1619"/>
      <c r="D39" s="1620" t="s">
        <v>338</v>
      </c>
      <c r="E39" s="1619"/>
      <c r="F39" s="1621"/>
      <c r="G39" s="1613" t="s">
        <v>2</v>
      </c>
      <c r="H39" s="1614"/>
      <c r="I39" s="1615"/>
    </row>
    <row r="40" spans="1:12" ht="20.399999999999999" x14ac:dyDescent="0.3">
      <c r="A40" s="251" t="s">
        <v>46</v>
      </c>
      <c r="B40" s="248" t="s">
        <v>18</v>
      </c>
      <c r="C40" s="232" t="s">
        <v>5</v>
      </c>
      <c r="D40" s="247" t="s">
        <v>46</v>
      </c>
      <c r="E40" s="248" t="s">
        <v>18</v>
      </c>
      <c r="F40" s="235" t="s">
        <v>5</v>
      </c>
      <c r="G40" s="249" t="s">
        <v>46</v>
      </c>
      <c r="H40" s="248" t="s">
        <v>18</v>
      </c>
      <c r="I40" s="225" t="s">
        <v>5</v>
      </c>
    </row>
    <row r="41" spans="1:12" ht="13.8" thickBot="1" x14ac:dyDescent="0.35">
      <c r="A41" s="238">
        <f>+G28</f>
        <v>11988</v>
      </c>
      <c r="B41" s="226">
        <f>+H28</f>
        <v>9990</v>
      </c>
      <c r="C41" s="252">
        <f>+B41*I41/H41</f>
        <v>0.71179194869967932</v>
      </c>
      <c r="D41" s="236">
        <f>+G35</f>
        <v>4852</v>
      </c>
      <c r="E41" s="226">
        <f>+H35</f>
        <v>4045</v>
      </c>
      <c r="F41" s="253">
        <f>+E41*I41/H41</f>
        <v>0.28820805130032062</v>
      </c>
      <c r="G41" s="254">
        <f>+A41+D41</f>
        <v>16840</v>
      </c>
      <c r="H41" s="255">
        <f>+B41+E41</f>
        <v>14035</v>
      </c>
      <c r="I41" s="256">
        <v>1</v>
      </c>
    </row>
    <row r="47" spans="1:12" x14ac:dyDescent="0.3">
      <c r="I47" s="229"/>
    </row>
    <row r="48" spans="1:12" x14ac:dyDescent="0.3">
      <c r="I48" s="230"/>
      <c r="L48" s="219"/>
    </row>
  </sheetData>
  <sheetProtection algorithmName="SHA-512" hashValue="QMTBvwZLafNJ2fCfvhAvm6O0Y6fXV93parfltkGrbqia9UCafR1En3udc4Oq8KlRZIcA02/CVa5oWlcf76FdHw==" saltValue="B8xvsZz30GyekhT1xWYgew==" spinCount="100000" sheet="1" objects="1" scenarios="1" selectLockedCells="1" selectUnlockedCells="1"/>
  <mergeCells count="25">
    <mergeCell ref="G39:I39"/>
    <mergeCell ref="A30:H30"/>
    <mergeCell ref="A35:F35"/>
    <mergeCell ref="A31:H31"/>
    <mergeCell ref="A33:A34"/>
    <mergeCell ref="A37:I37"/>
    <mergeCell ref="A38:I38"/>
    <mergeCell ref="A39:C39"/>
    <mergeCell ref="D39:F39"/>
    <mergeCell ref="G19:I19"/>
    <mergeCell ref="A28:F28"/>
    <mergeCell ref="A24:H24"/>
    <mergeCell ref="A25:H25"/>
    <mergeCell ref="A17:I17"/>
    <mergeCell ref="A18:I18"/>
    <mergeCell ref="A19:C19"/>
    <mergeCell ref="D19:F19"/>
    <mergeCell ref="A1:H1"/>
    <mergeCell ref="A8:H8"/>
    <mergeCell ref="A15:F15"/>
    <mergeCell ref="A6:F6"/>
    <mergeCell ref="A2:H2"/>
    <mergeCell ref="A9:H9"/>
    <mergeCell ref="A11:A12"/>
    <mergeCell ref="A13:A14"/>
  </mergeCells>
  <phoneticPr fontId="3" type="noConversion"/>
  <pageMargins left="0.70866141732283472" right="0.70866141732283472" top="0.74803149606299213" bottom="0.74803149606299213" header="0.31496062992125984" footer="0.31496062992125984"/>
  <pageSetup scale="64" orientation="landscape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4"/>
  <sheetViews>
    <sheetView workbookViewId="0">
      <selection activeCell="H34" sqref="H34"/>
    </sheetView>
  </sheetViews>
  <sheetFormatPr baseColWidth="10" defaultColWidth="11.44140625" defaultRowHeight="14.4" x14ac:dyDescent="0.3"/>
  <cols>
    <col min="1" max="1" width="8.109375" style="47" bestFit="1" customWidth="1"/>
    <col min="2" max="2" width="10.33203125" style="47" bestFit="1" customWidth="1"/>
    <col min="3" max="3" width="14.109375" style="47" bestFit="1" customWidth="1"/>
    <col min="4" max="4" width="10.109375" style="47" bestFit="1" customWidth="1"/>
    <col min="5" max="5" width="8.5546875" style="47" bestFit="1" customWidth="1"/>
    <col min="6" max="6" width="13.5546875" style="47" bestFit="1" customWidth="1"/>
    <col min="7" max="7" width="14.109375" style="47" bestFit="1" customWidth="1"/>
    <col min="8" max="8" width="12.6640625" style="47" bestFit="1" customWidth="1"/>
    <col min="9" max="9" width="15.44140625" style="47" bestFit="1" customWidth="1"/>
    <col min="10" max="10" width="14.33203125" style="47" bestFit="1" customWidth="1"/>
    <col min="11" max="11" width="6.88671875" style="47" bestFit="1" customWidth="1"/>
    <col min="12" max="16384" width="11.44140625" style="47"/>
  </cols>
  <sheetData>
    <row r="1" spans="1:12" ht="17.399999999999999" x14ac:dyDescent="0.3">
      <c r="A1" s="1227" t="s">
        <v>317</v>
      </c>
      <c r="B1" s="1228"/>
      <c r="C1" s="1228"/>
      <c r="D1" s="1228"/>
      <c r="E1" s="1228"/>
      <c r="F1" s="1228"/>
      <c r="G1" s="1228"/>
      <c r="H1" s="1229"/>
    </row>
    <row r="2" spans="1:12" ht="15.6" x14ac:dyDescent="0.3">
      <c r="A2" s="1230" t="s">
        <v>300</v>
      </c>
      <c r="B2" s="1231"/>
      <c r="C2" s="1231"/>
      <c r="D2" s="1231"/>
      <c r="E2" s="1231"/>
      <c r="F2" s="1231"/>
      <c r="G2" s="1231"/>
      <c r="H2" s="1232"/>
    </row>
    <row r="3" spans="1:12" ht="39.6" x14ac:dyDescent="0.3">
      <c r="A3" s="212" t="s">
        <v>62</v>
      </c>
      <c r="B3" s="158" t="s">
        <v>23</v>
      </c>
      <c r="C3" s="158" t="s">
        <v>46</v>
      </c>
      <c r="D3" s="158" t="s">
        <v>18</v>
      </c>
      <c r="E3" s="158" t="s">
        <v>69</v>
      </c>
      <c r="F3" s="158" t="s">
        <v>65</v>
      </c>
      <c r="G3" s="158" t="s">
        <v>63</v>
      </c>
      <c r="H3" s="270" t="s">
        <v>64</v>
      </c>
    </row>
    <row r="4" spans="1:12" x14ac:dyDescent="0.3">
      <c r="A4" s="231" t="s">
        <v>60</v>
      </c>
      <c r="B4" s="220" t="s">
        <v>30</v>
      </c>
      <c r="C4" s="221">
        <v>1080</v>
      </c>
      <c r="D4" s="221">
        <f>+ROUNDUP(C4/1.05,0)</f>
        <v>1029</v>
      </c>
      <c r="E4" s="216">
        <v>1</v>
      </c>
      <c r="F4" s="216">
        <v>1</v>
      </c>
      <c r="G4" s="221">
        <f>+C4*F4</f>
        <v>1080</v>
      </c>
      <c r="H4" s="223">
        <f>+D4*F4</f>
        <v>1029</v>
      </c>
    </row>
    <row r="5" spans="1:12" ht="26.4" x14ac:dyDescent="0.3">
      <c r="A5" s="231" t="s">
        <v>70</v>
      </c>
      <c r="B5" s="220" t="s">
        <v>31</v>
      </c>
      <c r="C5" s="221">
        <v>1080</v>
      </c>
      <c r="D5" s="221">
        <f>+ROUNDUP(C5/1.2,0)</f>
        <v>900</v>
      </c>
      <c r="E5" s="216" t="s">
        <v>363</v>
      </c>
      <c r="F5" s="216">
        <v>13</v>
      </c>
      <c r="G5" s="221">
        <f>+C5*F5</f>
        <v>14040</v>
      </c>
      <c r="H5" s="223">
        <f>+D5*F5</f>
        <v>11700</v>
      </c>
      <c r="J5" s="21"/>
    </row>
    <row r="6" spans="1:12" ht="15" thickBot="1" x14ac:dyDescent="0.35">
      <c r="A6" s="1591" t="s">
        <v>47</v>
      </c>
      <c r="B6" s="1592"/>
      <c r="C6" s="1592"/>
      <c r="D6" s="1592"/>
      <c r="E6" s="1592"/>
      <c r="F6" s="1592"/>
      <c r="G6" s="199">
        <f>SUM(G4:G5)</f>
        <v>15120</v>
      </c>
      <c r="H6" s="218">
        <f>SUM(H4:H5)</f>
        <v>12729</v>
      </c>
      <c r="J6" s="21"/>
    </row>
    <row r="8" spans="1:12" x14ac:dyDescent="0.3">
      <c r="H8" s="21"/>
    </row>
    <row r="13" spans="1:12" x14ac:dyDescent="0.3">
      <c r="I13" s="14"/>
    </row>
    <row r="14" spans="1:12" x14ac:dyDescent="0.3">
      <c r="I14" s="37"/>
      <c r="L14" s="21"/>
    </row>
  </sheetData>
  <sheetProtection algorithmName="SHA-512" hashValue="fHvid2hLD41wLPwUns/hbgcIbgw+otzR25zuNtfcuTJNKdxEaQY+Ou3F7430+XaW4czVvTtNdD8hNMGqVR6ftQ==" saltValue="fXd0JovXLDpXMKFibTGuOw==" spinCount="100000" sheet="1" objects="1" scenarios="1" selectLockedCells="1" selectUnlockedCells="1"/>
  <mergeCells count="3">
    <mergeCell ref="A6:F6"/>
    <mergeCell ref="A1:H1"/>
    <mergeCell ref="A2:H2"/>
  </mergeCells>
  <phoneticPr fontId="3" type="noConversion"/>
  <pageMargins left="0.70866141732283472" right="0.70866141732283472" top="0.74803149606299213" bottom="0.74803149606299213" header="0.31496062992125984" footer="0.31496062992125984"/>
  <pageSetup scale="64" orientation="landscape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7"/>
  <sheetViews>
    <sheetView zoomScaleNormal="100" workbookViewId="0">
      <selection activeCell="I16" sqref="I16"/>
    </sheetView>
  </sheetViews>
  <sheetFormatPr baseColWidth="10" defaultRowHeight="14.4" x14ac:dyDescent="0.3"/>
  <cols>
    <col min="1" max="1" width="12" customWidth="1"/>
    <col min="2" max="2" width="6.33203125" bestFit="1" customWidth="1"/>
    <col min="3" max="3" width="9.109375" bestFit="1" customWidth="1"/>
    <col min="4" max="4" width="4.88671875" bestFit="1" customWidth="1"/>
    <col min="5" max="5" width="12.109375" customWidth="1"/>
    <col min="6" max="6" width="4.88671875" bestFit="1" customWidth="1"/>
    <col min="7" max="7" width="9.109375" bestFit="1" customWidth="1"/>
    <col min="8" max="8" width="5.44140625" bestFit="1" customWidth="1"/>
    <col min="9" max="9" width="22.88671875" customWidth="1"/>
    <col min="10" max="10" width="26.109375" customWidth="1"/>
    <col min="11" max="11" width="10.33203125" bestFit="1" customWidth="1"/>
  </cols>
  <sheetData>
    <row r="1" spans="1:11" ht="23.4" x14ac:dyDescent="0.3">
      <c r="A1" s="1227" t="s">
        <v>93</v>
      </c>
      <c r="B1" s="1228"/>
      <c r="C1" s="1228"/>
      <c r="D1" s="1228"/>
      <c r="E1" s="1228"/>
      <c r="F1" s="1228"/>
      <c r="G1" s="1229"/>
      <c r="H1" s="27"/>
      <c r="I1" s="27"/>
      <c r="J1" s="27"/>
      <c r="K1" s="27"/>
    </row>
    <row r="2" spans="1:11" ht="23.4" x14ac:dyDescent="0.3">
      <c r="A2" s="1623" t="s">
        <v>342</v>
      </c>
      <c r="B2" s="1596" t="s">
        <v>33</v>
      </c>
      <c r="C2" s="1596"/>
      <c r="D2" s="1596" t="s">
        <v>94</v>
      </c>
      <c r="E2" s="1596"/>
      <c r="F2" s="1596" t="s">
        <v>95</v>
      </c>
      <c r="G2" s="1597"/>
      <c r="H2" s="27"/>
      <c r="I2" s="27"/>
      <c r="J2" s="27"/>
      <c r="K2" s="27"/>
    </row>
    <row r="3" spans="1:11" x14ac:dyDescent="0.3">
      <c r="A3" s="1623"/>
      <c r="B3" s="239" t="s">
        <v>5</v>
      </c>
      <c r="C3" s="158" t="s">
        <v>42</v>
      </c>
      <c r="D3" s="158" t="s">
        <v>5</v>
      </c>
      <c r="E3" s="158" t="s">
        <v>42</v>
      </c>
      <c r="F3" s="158" t="s">
        <v>5</v>
      </c>
      <c r="G3" s="270" t="s">
        <v>42</v>
      </c>
      <c r="H3" s="25"/>
      <c r="I3" s="25"/>
      <c r="J3" s="25"/>
      <c r="K3" s="25"/>
    </row>
    <row r="4" spans="1:11" ht="15" x14ac:dyDescent="0.3">
      <c r="A4" s="804" t="s">
        <v>337</v>
      </c>
      <c r="B4" s="809">
        <f>+C4/C6</f>
        <v>0.49934769278200242</v>
      </c>
      <c r="C4" s="221">
        <f>1744.48+2661.03</f>
        <v>4405.51</v>
      </c>
      <c r="D4" s="694">
        <v>0.4</v>
      </c>
      <c r="E4" s="221">
        <f>+C4*D4</f>
        <v>1762.2040000000002</v>
      </c>
      <c r="F4" s="694">
        <v>0.6</v>
      </c>
      <c r="G4" s="557">
        <f>+C4*F4</f>
        <v>2643.306</v>
      </c>
      <c r="H4" s="28"/>
      <c r="I4" s="28"/>
      <c r="J4" s="28"/>
      <c r="K4" s="28"/>
    </row>
    <row r="5" spans="1:11" ht="15" x14ac:dyDescent="0.3">
      <c r="A5" s="804" t="s">
        <v>338</v>
      </c>
      <c r="B5" s="809">
        <f>+C5/C6</f>
        <v>0.50065230721799758</v>
      </c>
      <c r="C5" s="221">
        <v>4417.0200000000004</v>
      </c>
      <c r="D5" s="694">
        <v>0.4</v>
      </c>
      <c r="E5" s="221">
        <f>+C5*D5</f>
        <v>1766.8080000000002</v>
      </c>
      <c r="F5" s="694">
        <v>0.6</v>
      </c>
      <c r="G5" s="557">
        <f>+C5*F5</f>
        <v>2650.212</v>
      </c>
      <c r="H5" s="28"/>
      <c r="I5" s="28"/>
      <c r="J5" s="28"/>
      <c r="K5" s="28"/>
    </row>
    <row r="6" spans="1:11" ht="15.6" thickBot="1" x14ac:dyDescent="0.35">
      <c r="A6" s="427" t="s">
        <v>2</v>
      </c>
      <c r="B6" s="805">
        <f>SUM(B4:B5)</f>
        <v>1</v>
      </c>
      <c r="C6" s="199">
        <f>+C4+C5</f>
        <v>8822.5300000000007</v>
      </c>
      <c r="D6" s="806"/>
      <c r="E6" s="807">
        <f>SUM(E4:E5)</f>
        <v>3529.0120000000006</v>
      </c>
      <c r="F6" s="806"/>
      <c r="G6" s="808">
        <f>SUM(G4:G5)</f>
        <v>5293.518</v>
      </c>
      <c r="H6" s="17"/>
      <c r="I6" s="17"/>
      <c r="J6" s="17"/>
      <c r="K6" s="17"/>
    </row>
    <row r="8" spans="1:11" s="47" customFormat="1" x14ac:dyDescent="0.3"/>
    <row r="9" spans="1:11" x14ac:dyDescent="0.3">
      <c r="F9" s="53"/>
      <c r="G9" s="810"/>
      <c r="H9" s="810"/>
    </row>
    <row r="10" spans="1:11" x14ac:dyDescent="0.3">
      <c r="A10" s="1622"/>
      <c r="B10" s="1622"/>
      <c r="C10" s="1622"/>
      <c r="D10" s="1622"/>
      <c r="E10" s="1622"/>
      <c r="F10" s="14"/>
      <c r="G10" s="18"/>
      <c r="H10" s="18"/>
    </row>
    <row r="11" spans="1:11" s="47" customFormat="1" x14ac:dyDescent="0.3">
      <c r="A11" s="32"/>
      <c r="B11" s="32"/>
      <c r="C11" s="32"/>
      <c r="D11" s="32"/>
      <c r="E11" s="32"/>
      <c r="F11" s="14"/>
      <c r="G11" s="18"/>
      <c r="H11" s="18"/>
    </row>
    <row r="12" spans="1:11" x14ac:dyDescent="0.3">
      <c r="A12" s="1622"/>
      <c r="B12" s="1622"/>
      <c r="C12" s="1622"/>
      <c r="D12" s="1622"/>
      <c r="E12" s="1622"/>
      <c r="F12" s="14"/>
      <c r="G12" s="18"/>
      <c r="H12" s="18"/>
    </row>
    <row r="13" spans="1:11" x14ac:dyDescent="0.3">
      <c r="A13" s="1622"/>
      <c r="B13" s="1622"/>
      <c r="C13" s="1622"/>
      <c r="D13" s="1622"/>
      <c r="E13" s="1622"/>
      <c r="F13" s="14"/>
      <c r="G13" s="18"/>
      <c r="H13" s="18"/>
    </row>
    <row r="14" spans="1:11" x14ac:dyDescent="0.3">
      <c r="A14" s="1622"/>
      <c r="B14" s="1622"/>
      <c r="C14" s="1622"/>
      <c r="D14" s="1622"/>
      <c r="E14" s="1622"/>
      <c r="F14" s="14"/>
      <c r="G14" s="18"/>
      <c r="H14" s="18"/>
    </row>
    <row r="15" spans="1:11" x14ac:dyDescent="0.3">
      <c r="A15" s="1622"/>
      <c r="B15" s="1622"/>
      <c r="C15" s="1622"/>
      <c r="D15" s="1622"/>
      <c r="E15" s="1622"/>
      <c r="F15" s="14"/>
      <c r="G15" s="18"/>
      <c r="H15" s="18"/>
    </row>
    <row r="16" spans="1:11" x14ac:dyDescent="0.3">
      <c r="A16" s="1622"/>
      <c r="B16" s="1622"/>
      <c r="C16" s="1622"/>
      <c r="D16" s="1622"/>
      <c r="E16" s="1622"/>
      <c r="F16" s="14"/>
      <c r="G16" s="18"/>
      <c r="H16" s="18"/>
    </row>
    <row r="17" spans="7:8" x14ac:dyDescent="0.3">
      <c r="G17" s="18"/>
      <c r="H17" s="18"/>
    </row>
  </sheetData>
  <sheetProtection algorithmName="SHA-512" hashValue="JYEl2OmGyGGYfgWTuFKW2MI0sL0GVa/yMJp6xDqaz+c7I5dxZYO9EZFLtiscuX74YK2HIehQGYYZqjSEe1r/4A==" saltValue="ytPpqK4RJMlYHfoYNiYSvw==" spinCount="100000" sheet="1" objects="1" scenarios="1" selectLockedCells="1" selectUnlockedCells="1"/>
  <mergeCells count="11">
    <mergeCell ref="F2:G2"/>
    <mergeCell ref="D2:E2"/>
    <mergeCell ref="B2:C2"/>
    <mergeCell ref="A2:A3"/>
    <mergeCell ref="A1:G1"/>
    <mergeCell ref="A16:E16"/>
    <mergeCell ref="A10:E10"/>
    <mergeCell ref="A12:E12"/>
    <mergeCell ref="A13:E13"/>
    <mergeCell ref="A14:E14"/>
    <mergeCell ref="A15:E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25</vt:i4>
      </vt:variant>
    </vt:vector>
  </HeadingPairs>
  <TitlesOfParts>
    <vt:vector size="25" baseType="lpstr">
      <vt:lpstr>SloPri</vt:lpstr>
      <vt:lpstr>SloPub</vt:lpstr>
      <vt:lpstr>VrSlo</vt:lpstr>
      <vt:lpstr>AportSlo</vt:lpstr>
      <vt:lpstr>EpEXvsEpPR</vt:lpstr>
      <vt:lpstr>PartSloPyP</vt:lpstr>
      <vt:lpstr>CabxUso</vt:lpstr>
      <vt:lpstr>0Model</vt:lpstr>
      <vt:lpstr>1Aprov</vt:lpstr>
      <vt:lpstr>2Res</vt:lpstr>
      <vt:lpstr>3Vtas</vt:lpstr>
      <vt:lpstr>4Cd</vt:lpstr>
      <vt:lpstr>05Carg</vt:lpstr>
      <vt:lpstr>6Ci</vt:lpstr>
      <vt:lpstr>7Util</vt:lpstr>
      <vt:lpstr>8Bal</vt:lpstr>
      <vt:lpstr>9RepSegMod</vt:lpstr>
      <vt:lpstr>9RepPartVtas</vt:lpstr>
      <vt:lpstr>10Equiv</vt:lpstr>
      <vt:lpstr>CalcEquip</vt:lpstr>
      <vt:lpstr>CalcViv</vt:lpstr>
      <vt:lpstr>CalcCyST1y2</vt:lpstr>
      <vt:lpstr>CalcCyST3</vt:lpstr>
      <vt:lpstr>CalcDOTpriv</vt:lpstr>
      <vt:lpstr>CalcParq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MCR</dc:creator>
  <cp:lastModifiedBy>usuario</cp:lastModifiedBy>
  <cp:lastPrinted>2022-09-13T23:00:39Z</cp:lastPrinted>
  <dcterms:created xsi:type="dcterms:W3CDTF">2022-05-18T21:44:30Z</dcterms:created>
  <dcterms:modified xsi:type="dcterms:W3CDTF">2022-09-28T00:03:39Z</dcterms:modified>
</cp:coreProperties>
</file>